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<sst xmlns="http://schemas.openxmlformats.org/spreadsheetml/2006/main" count="841" uniqueCount="324">
  <si>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</si>
  <si>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</si>
  <si>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</si>
  <si>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</si>
  <si>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</si>
  <si>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</si>
  <si>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</si>
  <si>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9 этажей.</t>
  </si>
  <si>
    <t>ЛОКАЛЬНАЯ СМЕТА № 1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</si>
  <si>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</si>
  <si>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</si>
  <si>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</si>
  <si>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</si>
  <si>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</si>
  <si>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</si>
  <si>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</si>
  <si>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</si>
  <si>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</si>
  <si>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</si>
  <si>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</si>
  <si>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</si>
  <si>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</si>
  <si>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</si>
  <si>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</si>
  <si>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</si>
  <si>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</si>
  <si>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</si>
  <si>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</si>
  <si>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</si>
  <si>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</si>
  <si>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Е53-21-15
Промазки и расшивка швов панелей перекрытий раствором снизу, 100 м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</si>
  <si>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</si>
  <si>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</si>
  <si>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</si>
  <si>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</si>
  <si>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</si>
  <si>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</si>
  <si>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</si>
  <si>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</si>
  <si>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</si>
  <si>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</si>
  <si>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</si>
  <si>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</si>
  <si>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</si>
  <si>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</si>
  <si>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</si>
  <si>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</si>
  <si>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</si>
  <si>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Е58-16-1
Ремонт цементной стяжки площадью заделки до 0,25 м2, 100 шт.</t>
  </si>
  <si>
    <t>3.</t>
  </si>
  <si>
    <t>Е58-16-2
Ремонт цементной стяжки площадью заделки до 0,5 м2, 100 шт.</t>
  </si>
  <si>
    <t>4.</t>
  </si>
  <si>
    <t>Е58-16-3
Ремонт цементной стяжки площадью заделки до 1,0 м2, 100 шт.</t>
  </si>
  <si>
    <t>5.</t>
  </si>
  <si>
    <t>Е12-01-099-1
Комплекс работ по устройству двухслойного мастичного покрытия (толщиной слоя 2 мм) по кровельным ж/б панелям и водосборным лоткам, с применением мастик "Бустилан" и "Гермабутил", с обделкой примыканий к вентшахтам, парапетам, козырькам бал...</t>
  </si>
  <si>
    <t>6.</t>
  </si>
  <si>
    <t>Е09-06-001-1
Монтаж конструкций дверей, люков, лазов для автокоптилок и пароварочных камер, т</t>
  </si>
  <si>
    <t>7.</t>
  </si>
  <si>
    <t>Е15-04-030-2
Масляная окраска металлических поверхностей больших поверхностей (кроме кровель), количество окрасок: 2, 100 м2</t>
  </si>
  <si>
    <t>8.</t>
  </si>
  <si>
    <t>С201-9006-370
Различные конструкции, не предусмотренные в основных разделах. ГОСТ 23118-99. Из толстолистовой стали. Масса отправочной марки, т: до 0,05, т</t>
  </si>
  <si>
    <t>9.</t>
  </si>
  <si>
    <t>Х600-2029
Погрузочно-разгрузочные работы при автомобильных перевозках-Мусор строительный, т</t>
  </si>
  <si>
    <t>10.</t>
  </si>
  <si>
    <t>С601-9010
Перевозка грузов автомобилями-самосвалами (работающими вне карьеров) на расстояние до 10 км (1-й класс груза), т</t>
  </si>
  <si>
    <t>Козырьки</t>
  </si>
  <si>
    <t>11.</t>
  </si>
  <si>
    <t>12.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</si>
  <si>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</si>
  <si>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</si>
  <si>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</si>
  <si>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</si>
  <si>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</si>
  <si>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</si>
  <si>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</si>
  <si>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</si>
  <si>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</si>
  <si>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</si>
  <si>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</si>
  <si>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</si>
  <si>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</si>
  <si>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</si>
  <si>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</si>
  <si>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</si>
  <si>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</si>
  <si>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</si>
  <si>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</si>
  <si>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</si>
  <si>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</si>
  <si>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</si>
  <si>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(%=86 - по стр. 1; %=83 - по стр. 2-4, 11; %=108 - по стр. 5, 12; %=95 - по стр. 7)</t>
  </si>
  <si>
    <t>.   СМЕТНАЯ ПРИБЫЛЬ - (%=70 - по стр. 1; %=65 - по стр. 2-4, 11; %=55 - по стр. 5, 12; %=47 - по стр. 7)</t>
  </si>
  <si>
    <t>ВСЕГО, СТОИМОСТЬ ОБЩЕСТРОИТЕЛЬНЫХ РАБОТ -</t>
  </si>
  <si>
    <t>СТОИМОСТЬ МЕТАЛЛОМОНТАЖНЫХ РАБОТ -</t>
  </si>
  <si>
    <t>.   НАКЛАДНЫЕ РАСХОДЫ - (%=81 - по стр. 6)</t>
  </si>
  <si>
    <t>.   СМЕТНАЯ ПРИБЫЛЬ - (%=72 - по стр. 6)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</si>
  <si>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</si>
  <si>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</si>
  <si>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</si>
  <si>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</si>
  <si>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</si>
  <si>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</si>
  <si>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</si>
  <si>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</si>
  <si>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</si>
  <si>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</si>
  <si>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</si>
  <si>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</si>
  <si>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</si>
  <si>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</si>
  <si>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</si>
  <si>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</si>
  <si>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</si>
  <si>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</si>
  <si>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</si>
  <si>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</si>
  <si>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</si>
  <si>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</si>
  <si>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</si>
  <si>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</si>
  <si>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</si>
  <si>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</si>
  <si>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</si>
  <si>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</si>
  <si>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</si>
  <si>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</si>
  <si>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</si>
  <si>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</si>
  <si>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</si>
  <si>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</si>
  <si>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</si>
  <si>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</si>
  <si>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</si>
  <si>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</si>
  <si>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</si>
  <si>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</si>
  <si>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</si>
  <si>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</si>
  <si>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</si>
  <si>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</si>
  <si>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</si>
  <si>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</si>
  <si>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</si>
  <si>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</si>
  <si>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</si>
  <si>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</si>
  <si>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</si>
  <si>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</si>
  <si>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</si>
  <si>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</si>
  <si>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</si>
  <si>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</si>
  <si>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</si>
  <si>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</si>
  <si>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</si>
  <si>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</si>
  <si>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</si>
  <si>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1-21 * 1-21 * 1 &gt;</t>
  </si>
  <si>
    <t xml:space="preserve">          Ремонт безрулонных кровель с покрытием из сборных ж/б плит, с нанесением двухслойного мастичного покрытия.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</si>
  <si>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</si>
  <si>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</si>
  <si>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</si>
  <si>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</si>
  <si>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</si>
  <si>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</si>
  <si>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</si>
  <si>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</si>
  <si>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</si>
  <si>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</si>
  <si>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</si>
  <si>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</si>
  <si>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</si>
  <si>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</si>
  <si>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</si>
  <si>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</si>
  <si>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</si>
  <si>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</si>
  <si>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</si>
  <si>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</si>
  <si>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</si>
  <si>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</si>
  <si>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</si>
  <si>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</si>
  <si>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</si>
  <si>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</si>
  <si>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</si>
  <si>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</si>
  <si>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</si>
  <si>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</si>
  <si>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</si>
  <si>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</si>
  <si>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</si>
  <si>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</si>
  <si>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</si>
  <si>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</si>
  <si>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</si>
  <si>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</si>
  <si>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</si>
  <si>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</si>
  <si>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</si>
  <si>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</si>
  <si>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</si>
  <si>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</si>
  <si>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</si>
  <si>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</si>
  <si>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</si>
  <si>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</si>
  <si>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</si>
  <si>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</si>
  <si>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</si>
  <si>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</si>
  <si>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</si>
  <si>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</si>
  <si>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</si>
  <si>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</si>
  <si>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</si>
  <si>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</si>
  <si>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</si>
  <si>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3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</si>
  <si>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</si>
  <si>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</si>
  <si>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</si>
  <si>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</si>
  <si>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</si>
  <si>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</si>
  <si>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</si>
  <si>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</si>
  <si>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</si>
  <si>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</si>
  <si>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</si>
  <si>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</si>
  <si>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</si>
  <si>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</si>
  <si>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</si>
  <si>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</si>
  <si>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</si>
  <si>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</si>
  <si>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</si>
  <si>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</si>
  <si>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</si>
  <si>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</si>
  <si>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</si>
  <si>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</si>
  <si>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</si>
  <si>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</si>
  <si>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</si>
  <si>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</si>
  <si>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</si>
  <si>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</si>
  <si>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</si>
  <si>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</si>
  <si>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</si>
  <si>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</si>
  <si>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</si>
  <si>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</si>
  <si>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</si>
  <si>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</si>
  <si>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</si>
  <si>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</si>
  <si>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</si>
  <si>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</si>
  <si>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</si>
  <si>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</si>
  <si>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</si>
  <si>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</si>
  <si>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</si>
  <si>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</si>
  <si>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</si>
  <si>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</si>
  <si>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</si>
  <si>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</si>
  <si>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</si>
  <si>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</si>
  <si>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</si>
  <si>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</si>
  <si>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</si>
  <si>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</si>
  <si>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</si>
  <si>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</si>
  <si>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</si>
  <si>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</si>
  <si>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</si>
  <si>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</si>
  <si>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</si>
  <si>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</si>
  <si>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</si>
  <si>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</si>
  <si>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</si>
  <si>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</si>
  <si>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</si>
  <si>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</si>
  <si>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</si>
  <si>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</si>
  <si>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</si>
  <si>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</si>
  <si>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</si>
  <si>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</si>
  <si>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</si>
  <si>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</si>
  <si>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</si>
  <si>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</si>
  <si>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</si>
  <si>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</si>
  <si>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</si>
  <si>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</si>
  <si>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</si>
  <si>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</si>
  <si>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</si>
  <si>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</si>
  <si>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</si>
  <si>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</si>
  <si>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</si>
  <si>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</si>
  <si>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</si>
  <si>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</si>
  <si>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</si>
  <si>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</si>
  <si>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</si>
  <si>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</si>
  <si>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(Локальный сметный расчет)</t>
  </si>
  <si>
    <t>на ремонт безрулонных кровель с покрытием из сборных ж/б плит, с нанесением двухслойного мастичного покрытия.</t>
  </si>
  <si>
    <t>Глобальные начисления: Н5(ОЗП)= 1.052</t>
  </si>
  <si>
    <t xml:space="preserve">   Начисления: Н3(ЭМ)= 1.25, Н4(ЗПМ)= 1.25, Н5(ОЗП)= 1,052*1.15</t>
  </si>
  <si>
    <t>(должность, подпись, Ф.И.О)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</si>
</sst>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8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166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Alignment="1">
      <alignment horizontal="right" vertical="top"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33"/>
  <sheetViews>
    <sheetView tabSelected="1" workbookViewId="0" topLeftCell="A1">
      <selection activeCell="D235" sqref="D235"/>
    </sheetView>
  </sheetViews>
  <sheetFormatPr defaultColWidth="9.140625" defaultRowHeight="10.5"/>
  <cols>
    <col min="1" max="1" width="4.140625" style="2" customWidth="1"/>
    <col min="2" max="2" width="46.140625" style="2" customWidth="1"/>
    <col min="3" max="3" width="12.8515625" style="2" customWidth="1"/>
    <col min="4" max="5" width="12.00390625" style="2" customWidth="1"/>
    <col min="6" max="6" width="17.7109375" style="2" customWidth="1"/>
    <col min="7" max="7" width="11.421875" style="2" customWidth="1"/>
    <col min="8" max="8" width="12.8515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0" t="s">
        <v>1</v>
      </c>
      <c r="B3" s="50"/>
      <c r="C3" s="50"/>
      <c r="D3" s="50"/>
      <c r="F3" s="50" t="s">
        <v>2</v>
      </c>
      <c r="G3" s="50"/>
      <c r="H3" s="50"/>
      <c r="I3" s="50"/>
    </row>
    <row r="4" spans="1:10" ht="10.5" customHeight="1">
      <c r="A4" s="41" t="s">
        <v>3</v>
      </c>
      <c r="B4" s="41"/>
      <c r="C4" s="42">
        <f>F219</f>
        <v>1407484.46</v>
      </c>
      <c r="D4" s="68" t="s">
        <v>4</v>
      </c>
      <c r="E4" s="69"/>
      <c r="F4" s="41" t="s">
        <v>3</v>
      </c>
      <c r="G4" s="41"/>
      <c r="H4" s="42">
        <f>F219</f>
        <v>1407484.46</v>
      </c>
      <c r="I4" s="68" t="s">
        <v>4</v>
      </c>
      <c r="J4" s="69"/>
    </row>
    <row r="5" spans="1:9" ht="10.5">
      <c r="A5" s="46"/>
      <c r="B5" s="46"/>
      <c r="C5" s="46"/>
      <c r="D5" s="46"/>
      <c r="F5" s="46"/>
      <c r="G5" s="46"/>
      <c r="H5" s="46"/>
      <c r="I5" s="46"/>
    </row>
    <row r="6" spans="1:9" ht="10.5">
      <c r="A6" s="46"/>
      <c r="B6" s="46"/>
      <c r="C6" s="46"/>
      <c r="D6" s="46"/>
      <c r="F6" s="46"/>
      <c r="G6" s="46"/>
      <c r="H6" s="46"/>
      <c r="I6" s="46"/>
    </row>
    <row r="7" spans="1:9" ht="10.5">
      <c r="A7" s="49" t="s">
        <v>5</v>
      </c>
      <c r="B7" s="49"/>
      <c r="C7" s="49"/>
      <c r="D7" s="49"/>
      <c r="F7" s="49" t="s">
        <v>5</v>
      </c>
      <c r="G7" s="49"/>
      <c r="H7" s="49"/>
      <c r="I7" s="49"/>
    </row>
    <row r="8" spans="1:9" ht="10.5">
      <c r="A8" s="46"/>
      <c r="B8" s="46"/>
      <c r="C8" s="46"/>
      <c r="D8" s="46"/>
      <c r="F8" s="46"/>
      <c r="G8" s="46"/>
      <c r="H8" s="46"/>
      <c r="I8" s="46"/>
    </row>
    <row r="9" spans="1:9" ht="10.5">
      <c r="A9" s="70" t="s">
        <v>318</v>
      </c>
      <c r="B9" s="49"/>
      <c r="C9" s="49"/>
      <c r="D9" s="49"/>
      <c r="F9" s="70" t="s">
        <v>318</v>
      </c>
      <c r="G9" s="49"/>
      <c r="H9" s="49"/>
      <c r="I9" s="49"/>
    </row>
    <row r="12" spans="2:3" ht="10.5">
      <c r="B12" s="6" t="s">
        <v>6</v>
      </c>
      <c r="C12" s="7" t="s">
        <v>7</v>
      </c>
    </row>
    <row r="13" spans="1:10" ht="10.5">
      <c r="A13" s="58" t="s">
        <v>8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0.5">
      <c r="A14" s="71" t="s">
        <v>319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10.5">
      <c r="A15" s="72" t="s">
        <v>320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2:3" ht="10.5">
      <c r="B16" s="6" t="s">
        <v>9</v>
      </c>
      <c r="C16" s="7" t="s">
        <v>10</v>
      </c>
    </row>
    <row r="17" spans="7:10" ht="10.5">
      <c r="G17" s="6" t="s">
        <v>11</v>
      </c>
      <c r="H17" s="44" t="str">
        <f>TEXT((F213)/1000,"# ##0"&amp;GetSeparator()&amp;"000")</f>
        <v> 352,895</v>
      </c>
      <c r="I17" s="44"/>
      <c r="J17" s="9" t="s">
        <v>12</v>
      </c>
    </row>
    <row r="18" spans="7:10" ht="10.5">
      <c r="G18" s="6" t="s">
        <v>13</v>
      </c>
      <c r="H18" s="44" t="str">
        <f>TEXT((J226)/1000,"# ##0"&amp;GetSeparator()&amp;"000")</f>
        <v> 1,131</v>
      </c>
      <c r="I18" s="44"/>
      <c r="J18" s="9" t="s">
        <v>14</v>
      </c>
    </row>
    <row r="19" spans="7:10" ht="10.5">
      <c r="G19" s="6" t="s">
        <v>15</v>
      </c>
      <c r="H19" s="44" t="str">
        <f>TEXT((F223)/1000,"# ##0"&amp;GetSeparator()&amp;"000")</f>
        <v> 13,155</v>
      </c>
      <c r="I19" s="44"/>
      <c r="J19" s="9" t="s">
        <v>12</v>
      </c>
    </row>
    <row r="20" spans="1:10" ht="10.5">
      <c r="A20" s="51" t="s">
        <v>16</v>
      </c>
      <c r="B20" s="51"/>
      <c r="C20" s="51"/>
      <c r="D20" s="51"/>
      <c r="E20" s="51"/>
      <c r="F20" s="51"/>
      <c r="G20" s="51"/>
      <c r="H20" s="51"/>
      <c r="I20" s="51"/>
      <c r="J20" s="51"/>
    </row>
    <row r="21" ht="4.5" customHeight="1"/>
    <row r="22" spans="1:10" ht="43.5" customHeight="1">
      <c r="A22" s="52" t="s">
        <v>17</v>
      </c>
      <c r="B22" s="52" t="s">
        <v>18</v>
      </c>
      <c r="C22" s="52" t="s">
        <v>19</v>
      </c>
      <c r="D22" s="55" t="s">
        <v>20</v>
      </c>
      <c r="E22" s="56"/>
      <c r="F22" s="55" t="s">
        <v>21</v>
      </c>
      <c r="G22" s="57"/>
      <c r="H22" s="56"/>
      <c r="I22" s="55" t="s">
        <v>22</v>
      </c>
      <c r="J22" s="56"/>
    </row>
    <row r="23" spans="1:10" ht="21.75" customHeight="1">
      <c r="A23" s="53"/>
      <c r="B23" s="53"/>
      <c r="C23" s="53"/>
      <c r="D23" s="10" t="s">
        <v>23</v>
      </c>
      <c r="E23" s="10" t="s">
        <v>24</v>
      </c>
      <c r="F23" s="52" t="s">
        <v>23</v>
      </c>
      <c r="G23" s="52" t="s">
        <v>25</v>
      </c>
      <c r="H23" s="10" t="s">
        <v>24</v>
      </c>
      <c r="I23" s="55" t="s">
        <v>26</v>
      </c>
      <c r="J23" s="56"/>
    </row>
    <row r="24" spans="1:10" ht="43.5" customHeight="1">
      <c r="A24" s="54"/>
      <c r="B24" s="54"/>
      <c r="C24" s="54"/>
      <c r="D24" s="10" t="s">
        <v>25</v>
      </c>
      <c r="E24" s="10" t="s">
        <v>27</v>
      </c>
      <c r="F24" s="54"/>
      <c r="G24" s="54"/>
      <c r="H24" s="10" t="s">
        <v>27</v>
      </c>
      <c r="I24" s="10" t="s">
        <v>28</v>
      </c>
      <c r="J24" s="10" t="s">
        <v>23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ht="10.5">
      <c r="B26" s="73" t="s">
        <v>321</v>
      </c>
    </row>
    <row r="27" spans="1:14" ht="10.5">
      <c r="A27" s="49" t="s">
        <v>29</v>
      </c>
      <c r="B27" s="50" t="s">
        <v>30</v>
      </c>
      <c r="C27" s="46">
        <v>4.56</v>
      </c>
      <c r="D27" s="12">
        <f>'Базовые цены за единицу'!B6</f>
        <v>712.66</v>
      </c>
      <c r="E27" s="12">
        <v>0.96</v>
      </c>
      <c r="F27" s="48">
        <f>'Базовые цены с учетом расхода'!B6</f>
        <v>3249.73</v>
      </c>
      <c r="G27" s="48">
        <f>'Базовые цены с учетом расхода'!C6</f>
        <v>3077.36</v>
      </c>
      <c r="H27" s="12">
        <f>'Базовые цены с учетом расхода'!D6</f>
        <v>4.38</v>
      </c>
      <c r="I27" s="14">
        <v>52.27388</v>
      </c>
      <c r="J27" s="14">
        <f>'Базовые цены с учетом расхода'!I6</f>
        <v>238.36889</v>
      </c>
      <c r="K27" s="2" t="s">
        <v>31</v>
      </c>
      <c r="L27" s="2" t="s">
        <v>32</v>
      </c>
      <c r="N27" s="48">
        <f>'Базовые цены с учетом расхода'!F6</f>
        <v>167.99</v>
      </c>
    </row>
    <row r="28" spans="1:14" ht="33" customHeight="1">
      <c r="A28" s="46"/>
      <c r="B28" s="46"/>
      <c r="C28" s="46"/>
      <c r="D28" s="13">
        <v>674.86</v>
      </c>
      <c r="E28" s="13"/>
      <c r="F28" s="48"/>
      <c r="G28" s="48"/>
      <c r="H28" s="13">
        <f>'Базовые цены с учетом расхода'!E6</f>
        <v>0</v>
      </c>
      <c r="J28" s="2">
        <f>'Базовые цены с учетом расхода'!K6</f>
        <v>0</v>
      </c>
      <c r="K28" s="2" t="s">
        <v>33</v>
      </c>
      <c r="L28" s="2" t="s">
        <v>34</v>
      </c>
      <c r="N28" s="48"/>
    </row>
    <row r="29" spans="2:12" ht="10.5" hidden="1">
      <c r="B29" s="15" t="s">
        <v>35</v>
      </c>
      <c r="C29" s="1">
        <v>86</v>
      </c>
      <c r="F29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2646.53</v>
      </c>
      <c r="L29" s="5" t="s">
        <v>36</v>
      </c>
    </row>
    <row r="30" spans="2:12" ht="10.5" hidden="1">
      <c r="B30" s="15" t="s">
        <v>37</v>
      </c>
      <c r="F30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2646.53</v>
      </c>
      <c r="L30" s="5" t="s">
        <v>38</v>
      </c>
    </row>
    <row r="31" spans="2:12" ht="10.5" hidden="1">
      <c r="B31" s="15" t="s">
        <v>39</v>
      </c>
      <c r="F31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2646.53</v>
      </c>
      <c r="L31" s="5" t="s">
        <v>40</v>
      </c>
    </row>
    <row r="32" spans="2:12" ht="10.5" hidden="1">
      <c r="B32" s="15" t="s">
        <v>41</v>
      </c>
      <c r="C32" s="1">
        <v>70</v>
      </c>
      <c r="F32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2154.15</v>
      </c>
      <c r="L32" s="5" t="s">
        <v>42</v>
      </c>
    </row>
    <row r="33" spans="2:12" ht="10.5" hidden="1">
      <c r="B33" s="15" t="s">
        <v>43</v>
      </c>
      <c r="F33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2154.15</v>
      </c>
      <c r="L33" s="5" t="s">
        <v>44</v>
      </c>
    </row>
    <row r="34" spans="2:12" ht="10.5" hidden="1">
      <c r="B34" s="15" t="s">
        <v>45</v>
      </c>
      <c r="F34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2154.15</v>
      </c>
      <c r="L34" s="5" t="s">
        <v>46</v>
      </c>
    </row>
    <row r="35" spans="1:10" ht="10.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4" ht="10.5">
      <c r="A36" s="49" t="s">
        <v>47</v>
      </c>
      <c r="B36" s="50" t="s">
        <v>48</v>
      </c>
      <c r="C36" s="46">
        <v>0.25</v>
      </c>
      <c r="D36" s="12">
        <f>'Базовые цены за единицу'!B7</f>
        <v>859.42</v>
      </c>
      <c r="E36" s="12">
        <v>21.72</v>
      </c>
      <c r="F36" s="48">
        <f>'Базовые цены с учетом расхода'!B7</f>
        <v>214.86</v>
      </c>
      <c r="G36" s="48">
        <f>'Базовые цены с учетом расхода'!C7</f>
        <v>133.73</v>
      </c>
      <c r="H36" s="12">
        <f>'Базовые цены с учетом расхода'!D7</f>
        <v>5.43</v>
      </c>
      <c r="I36" s="14">
        <v>47.7608</v>
      </c>
      <c r="J36" s="14">
        <f>'Базовые цены с учетом расхода'!I7</f>
        <v>11.9402</v>
      </c>
      <c r="K36" s="2" t="s">
        <v>31</v>
      </c>
      <c r="L36" s="2" t="s">
        <v>32</v>
      </c>
      <c r="N36" s="48">
        <f>'Базовые цены с учетом расхода'!F7</f>
        <v>75.7</v>
      </c>
    </row>
    <row r="37" spans="1:14" ht="33" customHeight="1">
      <c r="A37" s="46"/>
      <c r="B37" s="46"/>
      <c r="C37" s="46"/>
      <c r="D37" s="13">
        <v>534.92</v>
      </c>
      <c r="E37" s="13">
        <v>3.89</v>
      </c>
      <c r="F37" s="48"/>
      <c r="G37" s="48"/>
      <c r="H37" s="13">
        <f>'Базовые цены с учетом расхода'!E7</f>
        <v>0.97</v>
      </c>
      <c r="I37" s="2">
        <v>0.32</v>
      </c>
      <c r="J37" s="2">
        <f>'Базовые цены с учетом расхода'!K7</f>
        <v>0.08</v>
      </c>
      <c r="K37" s="2" t="s">
        <v>33</v>
      </c>
      <c r="L37" s="2" t="s">
        <v>34</v>
      </c>
      <c r="N37" s="48"/>
    </row>
    <row r="38" spans="2:12" ht="10.5" hidden="1">
      <c r="B38" s="15" t="s">
        <v>35</v>
      </c>
      <c r="C38" s="1">
        <v>83</v>
      </c>
      <c r="F38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111.8</v>
      </c>
      <c r="L38" s="5" t="s">
        <v>36</v>
      </c>
    </row>
    <row r="39" spans="2:12" ht="10.5" hidden="1">
      <c r="B39" s="15" t="s">
        <v>37</v>
      </c>
      <c r="F39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111.8</v>
      </c>
      <c r="L39" s="5" t="s">
        <v>38</v>
      </c>
    </row>
    <row r="40" spans="2:12" ht="10.5" hidden="1">
      <c r="B40" s="15" t="s">
        <v>39</v>
      </c>
      <c r="F40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111.8</v>
      </c>
      <c r="L40" s="5" t="s">
        <v>40</v>
      </c>
    </row>
    <row r="41" spans="2:12" ht="10.5" hidden="1">
      <c r="B41" s="15" t="s">
        <v>41</v>
      </c>
      <c r="C41" s="1">
        <v>65</v>
      </c>
      <c r="F41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87.56</v>
      </c>
      <c r="L41" s="5" t="s">
        <v>42</v>
      </c>
    </row>
    <row r="42" spans="2:12" ht="10.5" hidden="1">
      <c r="B42" s="15" t="s">
        <v>43</v>
      </c>
      <c r="F42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87.56</v>
      </c>
      <c r="L42" s="5" t="s">
        <v>44</v>
      </c>
    </row>
    <row r="43" spans="2:12" ht="10.5" hidden="1">
      <c r="B43" s="15" t="s">
        <v>45</v>
      </c>
      <c r="F43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87.56</v>
      </c>
      <c r="L43" s="5" t="s">
        <v>46</v>
      </c>
    </row>
    <row r="44" spans="1:10" ht="10.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4" ht="10.5">
      <c r="A45" s="49" t="s">
        <v>49</v>
      </c>
      <c r="B45" s="50" t="s">
        <v>50</v>
      </c>
      <c r="C45" s="46">
        <v>0.15</v>
      </c>
      <c r="D45" s="12">
        <f>'Базовые цены за единицу'!B8</f>
        <v>1637.19</v>
      </c>
      <c r="E45" s="12">
        <v>46.01</v>
      </c>
      <c r="F45" s="48">
        <f>'Базовые цены с учетом расхода'!B8</f>
        <v>245.58</v>
      </c>
      <c r="G45" s="48">
        <f>'Базовые цены с учетом расхода'!C8</f>
        <v>133.08</v>
      </c>
      <c r="H45" s="12">
        <f>'Базовые цены с учетом расхода'!D8</f>
        <v>6.9</v>
      </c>
      <c r="I45" s="14">
        <v>79.2156</v>
      </c>
      <c r="J45" s="14">
        <f>'Базовые цены с учетом расхода'!I8</f>
        <v>11.88234</v>
      </c>
      <c r="K45" s="2" t="s">
        <v>31</v>
      </c>
      <c r="L45" s="2" t="s">
        <v>32</v>
      </c>
      <c r="N45" s="48">
        <f>'Базовые цены с учетом расхода'!F8</f>
        <v>105.6</v>
      </c>
    </row>
    <row r="46" spans="1:14" ht="33" customHeight="1">
      <c r="A46" s="46"/>
      <c r="B46" s="46"/>
      <c r="C46" s="46"/>
      <c r="D46" s="13">
        <v>887.21</v>
      </c>
      <c r="E46" s="13">
        <v>8.28</v>
      </c>
      <c r="F46" s="48"/>
      <c r="G46" s="48"/>
      <c r="H46" s="13">
        <f>'Базовые цены с учетом расхода'!E8</f>
        <v>1.24</v>
      </c>
      <c r="I46" s="2">
        <v>0.68</v>
      </c>
      <c r="J46" s="2">
        <f>'Базовые цены с учетом расхода'!K8</f>
        <v>0.102</v>
      </c>
      <c r="K46" s="2" t="s">
        <v>33</v>
      </c>
      <c r="L46" s="2" t="s">
        <v>34</v>
      </c>
      <c r="N46" s="48"/>
    </row>
    <row r="47" spans="2:12" ht="10.5" hidden="1">
      <c r="B47" s="15" t="s">
        <v>35</v>
      </c>
      <c r="C47" s="1">
        <v>83</v>
      </c>
      <c r="F47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111.49</v>
      </c>
      <c r="L47" s="5" t="s">
        <v>36</v>
      </c>
    </row>
    <row r="48" spans="2:12" ht="10.5" hidden="1">
      <c r="B48" s="15" t="s">
        <v>37</v>
      </c>
      <c r="F48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111.49</v>
      </c>
      <c r="L48" s="5" t="s">
        <v>38</v>
      </c>
    </row>
    <row r="49" spans="2:12" ht="10.5" hidden="1">
      <c r="B49" s="15" t="s">
        <v>39</v>
      </c>
      <c r="F49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111.49</v>
      </c>
      <c r="L49" s="5" t="s">
        <v>40</v>
      </c>
    </row>
    <row r="50" spans="2:12" ht="10.5" hidden="1">
      <c r="B50" s="15" t="s">
        <v>41</v>
      </c>
      <c r="C50" s="1">
        <v>65</v>
      </c>
      <c r="F50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87.31</v>
      </c>
      <c r="L50" s="5" t="s">
        <v>42</v>
      </c>
    </row>
    <row r="51" spans="2:12" ht="10.5" hidden="1">
      <c r="B51" s="15" t="s">
        <v>43</v>
      </c>
      <c r="F51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87.31</v>
      </c>
      <c r="L51" s="5" t="s">
        <v>44</v>
      </c>
    </row>
    <row r="52" spans="2:12" ht="10.5" hidden="1">
      <c r="B52" s="15" t="s">
        <v>45</v>
      </c>
      <c r="F52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87.31</v>
      </c>
      <c r="L52" s="5" t="s">
        <v>46</v>
      </c>
    </row>
    <row r="53" spans="1:10" ht="10.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4" ht="10.5">
      <c r="A54" s="49" t="s">
        <v>51</v>
      </c>
      <c r="B54" s="50" t="s">
        <v>52</v>
      </c>
      <c r="C54" s="46">
        <v>0.1</v>
      </c>
      <c r="D54" s="12">
        <f>'Базовые цены за единицу'!B9</f>
        <v>3131.42</v>
      </c>
      <c r="E54" s="12">
        <v>93.44</v>
      </c>
      <c r="F54" s="48">
        <f>'Базовые цены с учетом расхода'!B9</f>
        <v>313.14</v>
      </c>
      <c r="G54" s="48">
        <f>'Базовые цены с учетом расхода'!C9</f>
        <v>153.05</v>
      </c>
      <c r="H54" s="12">
        <f>'Базовые цены с учетом расхода'!D9</f>
        <v>9.34</v>
      </c>
      <c r="I54" s="14">
        <v>136.6548</v>
      </c>
      <c r="J54" s="14">
        <f>'Базовые цены с учетом расхода'!I9</f>
        <v>13.66548</v>
      </c>
      <c r="K54" s="2" t="s">
        <v>31</v>
      </c>
      <c r="L54" s="2" t="s">
        <v>32</v>
      </c>
      <c r="N54" s="48">
        <f>'Базовые цены с учетом расхода'!F9</f>
        <v>150.75</v>
      </c>
    </row>
    <row r="55" spans="1:14" ht="33" customHeight="1">
      <c r="A55" s="46"/>
      <c r="B55" s="46"/>
      <c r="C55" s="46"/>
      <c r="D55" s="13">
        <v>1530.53</v>
      </c>
      <c r="E55" s="13">
        <v>16.79</v>
      </c>
      <c r="F55" s="48"/>
      <c r="G55" s="48"/>
      <c r="H55" s="13">
        <f>'Базовые цены с учетом расхода'!E9</f>
        <v>1.68</v>
      </c>
      <c r="I55" s="2">
        <v>1.38</v>
      </c>
      <c r="J55" s="2">
        <f>'Базовые цены с учетом расхода'!K9</f>
        <v>0.138</v>
      </c>
      <c r="K55" s="2" t="s">
        <v>33</v>
      </c>
      <c r="L55" s="2" t="s">
        <v>34</v>
      </c>
      <c r="N55" s="48"/>
    </row>
    <row r="56" spans="2:12" ht="10.5" hidden="1">
      <c r="B56" s="15" t="s">
        <v>35</v>
      </c>
      <c r="C56" s="1">
        <v>83</v>
      </c>
      <c r="F56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128.43</v>
      </c>
      <c r="L56" s="5" t="s">
        <v>36</v>
      </c>
    </row>
    <row r="57" spans="2:12" ht="10.5" hidden="1">
      <c r="B57" s="15" t="s">
        <v>37</v>
      </c>
      <c r="F57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128.43</v>
      </c>
      <c r="L57" s="5" t="s">
        <v>38</v>
      </c>
    </row>
    <row r="58" spans="2:12" ht="10.5" hidden="1">
      <c r="B58" s="15" t="s">
        <v>39</v>
      </c>
      <c r="F58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128.43</v>
      </c>
      <c r="L58" s="5" t="s">
        <v>40</v>
      </c>
    </row>
    <row r="59" spans="2:12" ht="10.5" hidden="1">
      <c r="B59" s="15" t="s">
        <v>41</v>
      </c>
      <c r="C59" s="1">
        <v>65</v>
      </c>
      <c r="F59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100.57</v>
      </c>
      <c r="L59" s="5" t="s">
        <v>42</v>
      </c>
    </row>
    <row r="60" spans="2:12" ht="10.5" hidden="1">
      <c r="B60" s="15" t="s">
        <v>43</v>
      </c>
      <c r="F60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100.57</v>
      </c>
      <c r="L60" s="5" t="s">
        <v>44</v>
      </c>
    </row>
    <row r="61" spans="2:12" ht="10.5" hidden="1">
      <c r="B61" s="15" t="s">
        <v>45</v>
      </c>
      <c r="F61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100.57</v>
      </c>
      <c r="L61" s="5" t="s">
        <v>46</v>
      </c>
    </row>
    <row r="62" spans="1:10" ht="10.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4" ht="10.5">
      <c r="A63" s="49" t="s">
        <v>53</v>
      </c>
      <c r="B63" s="50" t="s">
        <v>54</v>
      </c>
      <c r="C63" s="46">
        <v>12.94</v>
      </c>
      <c r="D63" s="12">
        <f>'Базовые цены за единицу'!B10</f>
        <v>24097.49</v>
      </c>
      <c r="E63" s="12">
        <v>78.89</v>
      </c>
      <c r="F63" s="48">
        <f>'Базовые цены с учетом расхода'!B10</f>
        <v>311821.53</v>
      </c>
      <c r="G63" s="48">
        <f>'Базовые цены с учетом расхода'!C10</f>
        <v>8795.32</v>
      </c>
      <c r="H63" s="12">
        <f>'Базовые цены с учетом расхода'!D10</f>
        <v>1020.84</v>
      </c>
      <c r="I63" s="14">
        <v>60.157612</v>
      </c>
      <c r="J63" s="14">
        <f>'Базовые цены с учетом расхода'!I10</f>
        <v>778.4395</v>
      </c>
      <c r="K63" s="2" t="s">
        <v>31</v>
      </c>
      <c r="L63" s="2" t="s">
        <v>32</v>
      </c>
      <c r="N63" s="48">
        <f>'Базовые цены с учетом расхода'!F10</f>
        <v>302005.37</v>
      </c>
    </row>
    <row r="64" spans="1:14" ht="99" customHeight="1">
      <c r="A64" s="46"/>
      <c r="B64" s="46"/>
      <c r="C64" s="46"/>
      <c r="D64" s="13">
        <v>679.7</v>
      </c>
      <c r="E64" s="13">
        <v>13.7</v>
      </c>
      <c r="F64" s="48"/>
      <c r="G64" s="48"/>
      <c r="H64" s="13">
        <f>'Базовые цены с учетом расхода'!E10</f>
        <v>177.28</v>
      </c>
      <c r="I64" s="2">
        <v>1.1875</v>
      </c>
      <c r="J64" s="2">
        <f>'Базовые цены с учетом расхода'!K10</f>
        <v>15.36625</v>
      </c>
      <c r="K64" s="2" t="s">
        <v>33</v>
      </c>
      <c r="L64" s="2" t="s">
        <v>34</v>
      </c>
      <c r="N64" s="48"/>
    </row>
    <row r="65" spans="2:10" ht="10.5">
      <c r="B65" s="47" t="s">
        <v>322</v>
      </c>
      <c r="C65" s="47"/>
      <c r="D65" s="47"/>
      <c r="E65" s="47"/>
      <c r="F65" s="47"/>
      <c r="G65" s="47"/>
      <c r="H65" s="47"/>
      <c r="I65" s="47"/>
      <c r="J65" s="47"/>
    </row>
    <row r="66" spans="2:12" ht="10.5" hidden="1">
      <c r="B66" s="15" t="s">
        <v>35</v>
      </c>
      <c r="C66" s="1">
        <v>108</v>
      </c>
      <c r="F66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9690.41</v>
      </c>
      <c r="L66" s="5" t="s">
        <v>36</v>
      </c>
    </row>
    <row r="67" spans="2:12" ht="10.5" hidden="1">
      <c r="B67" s="15" t="s">
        <v>37</v>
      </c>
      <c r="F67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9690.41</v>
      </c>
      <c r="L67" s="5" t="s">
        <v>38</v>
      </c>
    </row>
    <row r="68" spans="2:12" ht="10.5" hidden="1">
      <c r="B68" s="15" t="s">
        <v>39</v>
      </c>
      <c r="F68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9690.41</v>
      </c>
      <c r="L68" s="5" t="s">
        <v>40</v>
      </c>
    </row>
    <row r="69" spans="2:12" ht="10.5" hidden="1">
      <c r="B69" s="15" t="s">
        <v>41</v>
      </c>
      <c r="C69" s="1">
        <v>55</v>
      </c>
      <c r="F69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4934.93</v>
      </c>
      <c r="L69" s="5" t="s">
        <v>42</v>
      </c>
    </row>
    <row r="70" spans="2:12" ht="10.5" hidden="1">
      <c r="B70" s="15" t="s">
        <v>43</v>
      </c>
      <c r="F70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4934.93</v>
      </c>
      <c r="L70" s="5" t="s">
        <v>44</v>
      </c>
    </row>
    <row r="71" spans="2:12" ht="10.5" hidden="1">
      <c r="B71" s="15" t="s">
        <v>45</v>
      </c>
      <c r="F71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4934.93</v>
      </c>
      <c r="L71" s="5" t="s">
        <v>46</v>
      </c>
    </row>
    <row r="72" spans="1:10" ht="10.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4" ht="10.5">
      <c r="A73" s="49" t="s">
        <v>55</v>
      </c>
      <c r="B73" s="50" t="s">
        <v>56</v>
      </c>
      <c r="C73" s="46">
        <v>0.068</v>
      </c>
      <c r="D73" s="12">
        <f>'Базовые цены за единицу'!B11</f>
        <v>1392.75</v>
      </c>
      <c r="E73" s="12">
        <v>184.2</v>
      </c>
      <c r="F73" s="48">
        <f>'Базовые цены с учетом расхода'!B11</f>
        <v>94.71</v>
      </c>
      <c r="G73" s="48">
        <f>'Базовые цены с учетом расхода'!C11</f>
        <v>79.36</v>
      </c>
      <c r="H73" s="12">
        <f>'Базовые цены с учетом расхода'!D11</f>
        <v>12.53</v>
      </c>
      <c r="I73" s="14">
        <v>108.265</v>
      </c>
      <c r="J73" s="14">
        <f>'Базовые цены с учетом расхода'!I11</f>
        <v>7.36202</v>
      </c>
      <c r="K73" s="2" t="s">
        <v>31</v>
      </c>
      <c r="L73" s="2" t="s">
        <v>32</v>
      </c>
      <c r="N73" s="48">
        <f>'Базовые цены с учетом расхода'!F11</f>
        <v>2.82</v>
      </c>
    </row>
    <row r="74" spans="1:14" ht="33" customHeight="1">
      <c r="A74" s="46"/>
      <c r="B74" s="46"/>
      <c r="C74" s="46"/>
      <c r="D74" s="13">
        <v>1167.09</v>
      </c>
      <c r="E74" s="13">
        <v>10</v>
      </c>
      <c r="F74" s="48"/>
      <c r="G74" s="48"/>
      <c r="H74" s="13">
        <f>'Базовые цены с учетом расхода'!E11</f>
        <v>0.68</v>
      </c>
      <c r="I74" s="2">
        <v>0.6125</v>
      </c>
      <c r="J74" s="2">
        <f>'Базовые цены с учетом расхода'!K11</f>
        <v>0.04165</v>
      </c>
      <c r="K74" s="2" t="s">
        <v>33</v>
      </c>
      <c r="L74" s="2" t="s">
        <v>34</v>
      </c>
      <c r="N74" s="48"/>
    </row>
    <row r="75" spans="2:10" ht="10.5">
      <c r="B75" s="47" t="s">
        <v>322</v>
      </c>
      <c r="C75" s="47"/>
      <c r="D75" s="47"/>
      <c r="E75" s="47"/>
      <c r="F75" s="47"/>
      <c r="G75" s="47"/>
      <c r="H75" s="47"/>
      <c r="I75" s="47"/>
      <c r="J75" s="47"/>
    </row>
    <row r="76" spans="2:12" ht="10.5" hidden="1">
      <c r="B76" s="15" t="s">
        <v>35</v>
      </c>
      <c r="C76" s="1">
        <v>81</v>
      </c>
      <c r="F76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64.83</v>
      </c>
      <c r="L76" s="5" t="s">
        <v>36</v>
      </c>
    </row>
    <row r="77" spans="2:12" ht="10.5" hidden="1">
      <c r="B77" s="15" t="s">
        <v>37</v>
      </c>
      <c r="F77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64.83</v>
      </c>
      <c r="L77" s="5" t="s">
        <v>38</v>
      </c>
    </row>
    <row r="78" spans="2:12" ht="10.5" hidden="1">
      <c r="B78" s="15" t="s">
        <v>39</v>
      </c>
      <c r="F78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64.83</v>
      </c>
      <c r="L78" s="5" t="s">
        <v>40</v>
      </c>
    </row>
    <row r="79" spans="2:12" ht="10.5" hidden="1">
      <c r="B79" s="15" t="s">
        <v>41</v>
      </c>
      <c r="C79" s="1">
        <v>72</v>
      </c>
      <c r="F79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57.63</v>
      </c>
      <c r="L79" s="5" t="s">
        <v>42</v>
      </c>
    </row>
    <row r="80" spans="2:12" ht="10.5" hidden="1">
      <c r="B80" s="15" t="s">
        <v>43</v>
      </c>
      <c r="F80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57.63</v>
      </c>
      <c r="L80" s="5" t="s">
        <v>44</v>
      </c>
    </row>
    <row r="81" spans="2:12" ht="10.5" hidden="1">
      <c r="B81" s="15" t="s">
        <v>45</v>
      </c>
      <c r="F81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57.63</v>
      </c>
      <c r="L81" s="5" t="s">
        <v>46</v>
      </c>
    </row>
    <row r="82" spans="1:10" ht="10.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4" ht="10.5">
      <c r="A83" s="49" t="s">
        <v>57</v>
      </c>
      <c r="B83" s="50" t="s">
        <v>58</v>
      </c>
      <c r="C83" s="46">
        <v>0.039</v>
      </c>
      <c r="D83" s="12">
        <f>'Базовые цены за единицу'!B12</f>
        <v>787.65</v>
      </c>
      <c r="E83" s="12">
        <v>3.89</v>
      </c>
      <c r="F83" s="48">
        <f>'Базовые цены с учетом расхода'!B12</f>
        <v>30.71</v>
      </c>
      <c r="G83" s="48">
        <f>'Базовые цены с учетом расхода'!C12</f>
        <v>6.45</v>
      </c>
      <c r="H83" s="12">
        <f>'Базовые цены с учетом расхода'!D12</f>
        <v>0.15</v>
      </c>
      <c r="I83" s="14">
        <v>14.771658</v>
      </c>
      <c r="J83" s="14">
        <f>'Базовые цены с учетом расхода'!I12</f>
        <v>0.5760947</v>
      </c>
      <c r="K83" s="2" t="s">
        <v>31</v>
      </c>
      <c r="L83" s="2" t="s">
        <v>32</v>
      </c>
      <c r="N83" s="48">
        <f>'Базовые цены с учетом расхода'!F12</f>
        <v>24.11</v>
      </c>
    </row>
    <row r="84" spans="1:14" ht="54.75" customHeight="1">
      <c r="A84" s="46"/>
      <c r="B84" s="46"/>
      <c r="C84" s="46"/>
      <c r="D84" s="13">
        <v>165.44</v>
      </c>
      <c r="E84" s="13">
        <v>0.14</v>
      </c>
      <c r="F84" s="48"/>
      <c r="G84" s="48"/>
      <c r="H84" s="13">
        <f>'Базовые цены с учетом расхода'!E12</f>
        <v>0.01</v>
      </c>
      <c r="I84" s="2">
        <v>0.0125</v>
      </c>
      <c r="J84" s="2">
        <f>'Базовые цены с учетом расхода'!K12</f>
        <v>0.0004875</v>
      </c>
      <c r="K84" s="2" t="s">
        <v>33</v>
      </c>
      <c r="L84" s="2" t="s">
        <v>34</v>
      </c>
      <c r="N84" s="48"/>
    </row>
    <row r="85" spans="2:10" ht="10.5">
      <c r="B85" s="47" t="s">
        <v>322</v>
      </c>
      <c r="C85" s="47"/>
      <c r="D85" s="47"/>
      <c r="E85" s="47"/>
      <c r="F85" s="47"/>
      <c r="G85" s="47"/>
      <c r="H85" s="47"/>
      <c r="I85" s="47"/>
      <c r="J85" s="47"/>
    </row>
    <row r="86" spans="2:12" ht="10.5" hidden="1">
      <c r="B86" s="15" t="s">
        <v>35</v>
      </c>
      <c r="C86" s="1">
        <v>95</v>
      </c>
      <c r="F86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6.14</v>
      </c>
      <c r="L86" s="5" t="s">
        <v>36</v>
      </c>
    </row>
    <row r="87" spans="2:12" ht="10.5" hidden="1">
      <c r="B87" s="15" t="s">
        <v>37</v>
      </c>
      <c r="F87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6.14</v>
      </c>
      <c r="L87" s="5" t="s">
        <v>38</v>
      </c>
    </row>
    <row r="88" spans="2:12" ht="10.5" hidden="1">
      <c r="B88" s="15" t="s">
        <v>39</v>
      </c>
      <c r="F88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6.14</v>
      </c>
      <c r="L88" s="5" t="s">
        <v>40</v>
      </c>
    </row>
    <row r="89" spans="2:12" ht="10.5" hidden="1">
      <c r="B89" s="15" t="s">
        <v>41</v>
      </c>
      <c r="C89" s="1">
        <v>47</v>
      </c>
      <c r="F89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3.04</v>
      </c>
      <c r="L89" s="5" t="s">
        <v>42</v>
      </c>
    </row>
    <row r="90" spans="2:12" ht="10.5" hidden="1">
      <c r="B90" s="15" t="s">
        <v>43</v>
      </c>
      <c r="F90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3.04</v>
      </c>
      <c r="L90" s="5" t="s">
        <v>44</v>
      </c>
    </row>
    <row r="91" spans="2:12" ht="10.5" hidden="1">
      <c r="B91" s="15" t="s">
        <v>45</v>
      </c>
      <c r="F91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3.04</v>
      </c>
      <c r="L91" s="5" t="s">
        <v>46</v>
      </c>
    </row>
    <row r="92" spans="1:10" ht="10.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4" ht="10.5">
      <c r="A93" s="49" t="s">
        <v>59</v>
      </c>
      <c r="B93" s="50" t="s">
        <v>60</v>
      </c>
      <c r="C93" s="46">
        <v>0.068</v>
      </c>
      <c r="D93" s="12">
        <f>'Базовые цены за единицу'!B13</f>
        <v>14670</v>
      </c>
      <c r="E93" s="12"/>
      <c r="F93" s="48">
        <f>'Базовые цены с учетом расхода'!B13</f>
        <v>997.56</v>
      </c>
      <c r="G93" s="48">
        <f>'Базовые цены с учетом расхода'!C13</f>
        <v>0</v>
      </c>
      <c r="H93" s="12">
        <f>'Базовые цены с учетом расхода'!D13</f>
        <v>0</v>
      </c>
      <c r="I93" s="14"/>
      <c r="J93" s="14">
        <f>'Базовые цены с учетом расхода'!I13</f>
        <v>0</v>
      </c>
      <c r="K93" s="2" t="s">
        <v>31</v>
      </c>
      <c r="L93" s="2" t="s">
        <v>32</v>
      </c>
      <c r="N93" s="48">
        <f>'Базовые цены с учетом расхода'!F13</f>
        <v>997.56</v>
      </c>
    </row>
    <row r="94" spans="1:14" ht="54.75" customHeight="1">
      <c r="A94" s="46"/>
      <c r="B94" s="46"/>
      <c r="C94" s="46"/>
      <c r="D94" s="13"/>
      <c r="E94" s="13"/>
      <c r="F94" s="48"/>
      <c r="G94" s="48"/>
      <c r="H94" s="13">
        <f>'Базовые цены с учетом расхода'!E13</f>
        <v>0</v>
      </c>
      <c r="J94" s="2">
        <f>'Базовые цены с учетом расхода'!K13</f>
        <v>0</v>
      </c>
      <c r="K94" s="2" t="s">
        <v>33</v>
      </c>
      <c r="L94" s="2" t="s">
        <v>34</v>
      </c>
      <c r="N94" s="48"/>
    </row>
    <row r="95" spans="2:12" ht="10.5" hidden="1">
      <c r="B95" s="15" t="s">
        <v>35</v>
      </c>
      <c r="C95" s="1">
        <v>0</v>
      </c>
      <c r="F95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5" s="5" t="s">
        <v>36</v>
      </c>
    </row>
    <row r="96" spans="2:12" ht="10.5" hidden="1">
      <c r="B96" s="15" t="s">
        <v>37</v>
      </c>
      <c r="F96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6" s="5" t="s">
        <v>38</v>
      </c>
    </row>
    <row r="97" spans="2:12" ht="10.5" hidden="1">
      <c r="B97" s="15" t="s">
        <v>39</v>
      </c>
      <c r="F97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7" s="5" t="s">
        <v>40</v>
      </c>
    </row>
    <row r="98" spans="2:12" ht="10.5" hidden="1">
      <c r="B98" s="15" t="s">
        <v>41</v>
      </c>
      <c r="C98" s="1">
        <v>0</v>
      </c>
      <c r="F98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98" s="5" t="s">
        <v>42</v>
      </c>
    </row>
    <row r="99" spans="2:12" ht="10.5" hidden="1">
      <c r="B99" s="15" t="s">
        <v>43</v>
      </c>
      <c r="F99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99" s="5" t="s">
        <v>44</v>
      </c>
    </row>
    <row r="100" spans="2:12" ht="10.5" hidden="1">
      <c r="B100" s="15" t="s">
        <v>45</v>
      </c>
      <c r="F100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100" s="5" t="s">
        <v>46</v>
      </c>
    </row>
    <row r="101" spans="1:10" ht="10.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4" ht="10.5">
      <c r="A102" s="49" t="s">
        <v>61</v>
      </c>
      <c r="B102" s="50" t="s">
        <v>62</v>
      </c>
      <c r="C102" s="46">
        <v>0.49</v>
      </c>
      <c r="D102" s="12">
        <f>'Базовые цены за единицу'!B14</f>
        <v>8</v>
      </c>
      <c r="E102" s="12">
        <v>8</v>
      </c>
      <c r="F102" s="48">
        <f>'Базовые цены с учетом расхода'!B14</f>
        <v>3.92</v>
      </c>
      <c r="G102" s="48">
        <f>'Базовые цены с учетом расхода'!C14</f>
        <v>0</v>
      </c>
      <c r="H102" s="12">
        <f>'Базовые цены с учетом расхода'!D14</f>
        <v>3.92</v>
      </c>
      <c r="I102" s="14"/>
      <c r="J102" s="14">
        <f>'Базовые цены с учетом расхода'!I14</f>
        <v>0</v>
      </c>
      <c r="K102" s="2" t="s">
        <v>31</v>
      </c>
      <c r="L102" s="2" t="s">
        <v>32</v>
      </c>
      <c r="N102" s="48">
        <f>'Базовые цены с учетом расхода'!F14</f>
        <v>0</v>
      </c>
    </row>
    <row r="103" spans="1:14" ht="43.5" customHeight="1">
      <c r="A103" s="46"/>
      <c r="B103" s="46"/>
      <c r="C103" s="46"/>
      <c r="D103" s="13"/>
      <c r="E103" s="13"/>
      <c r="F103" s="48"/>
      <c r="G103" s="48"/>
      <c r="H103" s="13">
        <f>'Базовые цены с учетом расхода'!E14</f>
        <v>0</v>
      </c>
      <c r="J103" s="2">
        <f>'Базовые цены с учетом расхода'!K14</f>
        <v>0</v>
      </c>
      <c r="K103" s="2" t="s">
        <v>33</v>
      </c>
      <c r="L103" s="2" t="s">
        <v>34</v>
      </c>
      <c r="N103" s="48"/>
    </row>
    <row r="104" spans="2:12" ht="10.5" hidden="1">
      <c r="B104" s="15" t="s">
        <v>35</v>
      </c>
      <c r="C104" s="1">
        <v>0</v>
      </c>
      <c r="F104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104" s="5" t="s">
        <v>36</v>
      </c>
    </row>
    <row r="105" spans="2:12" ht="10.5" hidden="1">
      <c r="B105" s="15" t="s">
        <v>37</v>
      </c>
      <c r="F105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105" s="5" t="s">
        <v>38</v>
      </c>
    </row>
    <row r="106" spans="2:12" ht="10.5" hidden="1">
      <c r="B106" s="15" t="s">
        <v>39</v>
      </c>
      <c r="F106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106" s="5" t="s">
        <v>40</v>
      </c>
    </row>
    <row r="107" spans="2:12" ht="10.5" hidden="1">
      <c r="B107" s="15" t="s">
        <v>41</v>
      </c>
      <c r="C107" s="1">
        <v>0</v>
      </c>
      <c r="F107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107" s="5" t="s">
        <v>42</v>
      </c>
    </row>
    <row r="108" spans="2:12" ht="10.5" hidden="1">
      <c r="B108" s="15" t="s">
        <v>43</v>
      </c>
      <c r="F108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108" s="5" t="s">
        <v>44</v>
      </c>
    </row>
    <row r="109" spans="2:12" ht="10.5" hidden="1">
      <c r="B109" s="15" t="s">
        <v>45</v>
      </c>
      <c r="F109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109" s="5" t="s">
        <v>46</v>
      </c>
    </row>
    <row r="110" spans="1:10" ht="10.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4" ht="10.5">
      <c r="A111" s="49" t="s">
        <v>63</v>
      </c>
      <c r="B111" s="50" t="s">
        <v>64</v>
      </c>
      <c r="C111" s="46">
        <v>0.49</v>
      </c>
      <c r="D111" s="12">
        <f>'Базовые цены за единицу'!B15</f>
        <v>17.99</v>
      </c>
      <c r="E111" s="12"/>
      <c r="F111" s="48">
        <f>'Базовые цены с учетом расхода'!B15</f>
        <v>8.82</v>
      </c>
      <c r="G111" s="48">
        <f>'Базовые цены с учетом расхода'!C15</f>
        <v>0</v>
      </c>
      <c r="H111" s="12">
        <f>'Базовые цены с учетом расхода'!D15</f>
        <v>0</v>
      </c>
      <c r="I111" s="14"/>
      <c r="J111" s="14">
        <f>'Базовые цены с учетом расхода'!I15</f>
        <v>0</v>
      </c>
      <c r="K111" s="2" t="s">
        <v>31</v>
      </c>
      <c r="L111" s="2" t="s">
        <v>32</v>
      </c>
      <c r="N111" s="48">
        <f>'Базовые цены с учетом расхода'!F15</f>
        <v>8.82</v>
      </c>
    </row>
    <row r="112" spans="1:14" ht="54.75" customHeight="1">
      <c r="A112" s="46"/>
      <c r="B112" s="46"/>
      <c r="C112" s="46"/>
      <c r="D112" s="13"/>
      <c r="E112" s="13"/>
      <c r="F112" s="48"/>
      <c r="G112" s="48"/>
      <c r="H112" s="13">
        <f>'Базовые цены с учетом расхода'!E15</f>
        <v>0</v>
      </c>
      <c r="J112" s="2">
        <f>'Базовые цены с учетом расхода'!K15</f>
        <v>0</v>
      </c>
      <c r="K112" s="2" t="s">
        <v>33</v>
      </c>
      <c r="L112" s="2" t="s">
        <v>34</v>
      </c>
      <c r="N112" s="48"/>
    </row>
    <row r="113" spans="2:12" ht="10.5" hidden="1">
      <c r="B113" s="15" t="s">
        <v>35</v>
      </c>
      <c r="C113" s="1">
        <v>0</v>
      </c>
      <c r="F113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L113" s="5" t="s">
        <v>36</v>
      </c>
    </row>
    <row r="114" spans="2:12" ht="10.5" hidden="1">
      <c r="B114" s="15" t="s">
        <v>37</v>
      </c>
      <c r="F114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L114" s="5" t="s">
        <v>38</v>
      </c>
    </row>
    <row r="115" spans="2:12" ht="10.5" hidden="1">
      <c r="B115" s="15" t="s">
        <v>39</v>
      </c>
      <c r="F115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L115" s="5" t="s">
        <v>40</v>
      </c>
    </row>
    <row r="116" spans="2:12" ht="10.5" hidden="1">
      <c r="B116" s="15" t="s">
        <v>41</v>
      </c>
      <c r="C116" s="1">
        <v>0</v>
      </c>
      <c r="F116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L116" s="5" t="s">
        <v>42</v>
      </c>
    </row>
    <row r="117" spans="2:12" ht="10.5" hidden="1">
      <c r="B117" s="15" t="s">
        <v>43</v>
      </c>
      <c r="F117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L117" s="5" t="s">
        <v>44</v>
      </c>
    </row>
    <row r="118" spans="2:12" ht="10.5" hidden="1">
      <c r="B118" s="15" t="s">
        <v>45</v>
      </c>
      <c r="F118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L118" s="5" t="s">
        <v>46</v>
      </c>
    </row>
    <row r="119" spans="1:10" ht="10.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ht="10.5">
      <c r="B120" s="18" t="s">
        <v>65</v>
      </c>
    </row>
    <row r="122" spans="1:14" ht="10.5">
      <c r="A122" s="49" t="s">
        <v>66</v>
      </c>
      <c r="B122" s="50" t="s">
        <v>50</v>
      </c>
      <c r="C122" s="46">
        <v>0.2</v>
      </c>
      <c r="D122" s="12">
        <f>'Базовые цены за единицу'!B16</f>
        <v>1637.19</v>
      </c>
      <c r="E122" s="12">
        <v>46.01</v>
      </c>
      <c r="F122" s="48">
        <f>'Базовые цены с учетом расхода'!B16</f>
        <v>327.43</v>
      </c>
      <c r="G122" s="48">
        <f>'Базовые цены с учетом расхода'!C16</f>
        <v>177.44</v>
      </c>
      <c r="H122" s="12">
        <f>'Базовые цены с учетом расхода'!D16</f>
        <v>9.2</v>
      </c>
      <c r="I122" s="14">
        <v>79.2156</v>
      </c>
      <c r="J122" s="14">
        <f>'Базовые цены с учетом расхода'!I16</f>
        <v>15.84312</v>
      </c>
      <c r="K122" s="2" t="s">
        <v>31</v>
      </c>
      <c r="L122" s="2" t="s">
        <v>32</v>
      </c>
      <c r="N122" s="48">
        <f>'Базовые цены с учетом расхода'!F16</f>
        <v>140.79</v>
      </c>
    </row>
    <row r="123" spans="1:14" ht="33" customHeight="1">
      <c r="A123" s="46"/>
      <c r="B123" s="46"/>
      <c r="C123" s="46"/>
      <c r="D123" s="13">
        <v>887.21</v>
      </c>
      <c r="E123" s="13">
        <v>8.28</v>
      </c>
      <c r="F123" s="48"/>
      <c r="G123" s="48"/>
      <c r="H123" s="13">
        <f>'Базовые цены с учетом расхода'!E16</f>
        <v>1.66</v>
      </c>
      <c r="I123" s="2">
        <v>0.68</v>
      </c>
      <c r="J123" s="2">
        <f>'Базовые цены с учетом расхода'!K16</f>
        <v>0.136</v>
      </c>
      <c r="K123" s="2" t="s">
        <v>33</v>
      </c>
      <c r="L123" s="2" t="s">
        <v>34</v>
      </c>
      <c r="N123" s="48"/>
    </row>
    <row r="124" spans="2:12" ht="10.5" hidden="1">
      <c r="B124" s="15" t="s">
        <v>35</v>
      </c>
      <c r="C124" s="1">
        <v>83</v>
      </c>
      <c r="F124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148.65</v>
      </c>
      <c r="L124" s="5" t="s">
        <v>36</v>
      </c>
    </row>
    <row r="125" spans="2:12" ht="10.5" hidden="1">
      <c r="B125" s="15" t="s">
        <v>37</v>
      </c>
      <c r="F125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148.65</v>
      </c>
      <c r="L125" s="5" t="s">
        <v>38</v>
      </c>
    </row>
    <row r="126" spans="2:12" ht="10.5" hidden="1">
      <c r="B126" s="15" t="s">
        <v>39</v>
      </c>
      <c r="F126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148.65</v>
      </c>
      <c r="L126" s="5" t="s">
        <v>40</v>
      </c>
    </row>
    <row r="127" spans="2:12" ht="10.5" hidden="1">
      <c r="B127" s="15" t="s">
        <v>41</v>
      </c>
      <c r="C127" s="1">
        <v>65</v>
      </c>
      <c r="F127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116.42</v>
      </c>
      <c r="L127" s="5" t="s">
        <v>42</v>
      </c>
    </row>
    <row r="128" spans="2:12" ht="10.5" hidden="1">
      <c r="B128" s="15" t="s">
        <v>43</v>
      </c>
      <c r="F128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116.42</v>
      </c>
      <c r="L128" s="5" t="s">
        <v>44</v>
      </c>
    </row>
    <row r="129" spans="2:12" ht="10.5" hidden="1">
      <c r="B129" s="15" t="s">
        <v>45</v>
      </c>
      <c r="F129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116.42</v>
      </c>
      <c r="L129" s="5" t="s">
        <v>46</v>
      </c>
    </row>
    <row r="130" spans="1:10" ht="10.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4" ht="10.5">
      <c r="A131" s="49" t="s">
        <v>67</v>
      </c>
      <c r="B131" s="50" t="s">
        <v>54</v>
      </c>
      <c r="C131" s="46">
        <v>0.6</v>
      </c>
      <c r="D131" s="12">
        <f>'Базовые цены за единицу'!B17</f>
        <v>24097.49</v>
      </c>
      <c r="E131" s="12">
        <v>78.89</v>
      </c>
      <c r="F131" s="48">
        <f>'Базовые цены с учетом расхода'!B17</f>
        <v>14458.49</v>
      </c>
      <c r="G131" s="48">
        <f>'Базовые цены с учетом расхода'!C17</f>
        <v>407.82</v>
      </c>
      <c r="H131" s="12">
        <f>'Базовые цены с учетом расхода'!D17</f>
        <v>47.33</v>
      </c>
      <c r="I131" s="14">
        <v>60.157612</v>
      </c>
      <c r="J131" s="14">
        <f>'Базовые цены с учетом расхода'!I17</f>
        <v>36.094567</v>
      </c>
      <c r="K131" s="2" t="s">
        <v>31</v>
      </c>
      <c r="L131" s="2" t="s">
        <v>32</v>
      </c>
      <c r="N131" s="48">
        <f>'Базовые цены с учетом расхода'!F17</f>
        <v>14003.34</v>
      </c>
    </row>
    <row r="132" spans="1:14" ht="99" customHeight="1">
      <c r="A132" s="46"/>
      <c r="B132" s="46"/>
      <c r="C132" s="46"/>
      <c r="D132" s="13">
        <v>679.7</v>
      </c>
      <c r="E132" s="13">
        <v>13.7</v>
      </c>
      <c r="F132" s="48"/>
      <c r="G132" s="48"/>
      <c r="H132" s="13">
        <f>'Базовые цены с учетом расхода'!E17</f>
        <v>8.22</v>
      </c>
      <c r="I132" s="2">
        <v>1.1875</v>
      </c>
      <c r="J132" s="2">
        <f>'Базовые цены с учетом расхода'!K17</f>
        <v>0.7125</v>
      </c>
      <c r="K132" s="2" t="s">
        <v>33</v>
      </c>
      <c r="L132" s="2" t="s">
        <v>34</v>
      </c>
      <c r="N132" s="48"/>
    </row>
    <row r="133" spans="2:10" ht="10.5">
      <c r="B133" s="47" t="s">
        <v>322</v>
      </c>
      <c r="C133" s="47"/>
      <c r="D133" s="47"/>
      <c r="E133" s="47"/>
      <c r="F133" s="47"/>
      <c r="G133" s="47"/>
      <c r="H133" s="47"/>
      <c r="I133" s="47"/>
      <c r="J133" s="47"/>
    </row>
    <row r="134" spans="2:12" ht="10.5" hidden="1">
      <c r="B134" s="15" t="s">
        <v>35</v>
      </c>
      <c r="C134" s="1">
        <v>108</v>
      </c>
      <c r="F134" s="16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449.32</v>
      </c>
      <c r="L134" s="5" t="s">
        <v>36</v>
      </c>
    </row>
    <row r="135" spans="2:12" ht="10.5" hidden="1">
      <c r="B135" s="15" t="s">
        <v>37</v>
      </c>
      <c r="F135" s="16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449.32</v>
      </c>
      <c r="L135" s="5" t="s">
        <v>38</v>
      </c>
    </row>
    <row r="136" spans="2:12" ht="10.5" hidden="1">
      <c r="B136" s="15" t="s">
        <v>39</v>
      </c>
      <c r="F136" s="16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449.32</v>
      </c>
      <c r="L136" s="5" t="s">
        <v>40</v>
      </c>
    </row>
    <row r="137" spans="2:12" ht="10.5" hidden="1">
      <c r="B137" s="15" t="s">
        <v>41</v>
      </c>
      <c r="C137" s="1">
        <v>55</v>
      </c>
      <c r="F137" s="16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228.82</v>
      </c>
      <c r="L137" s="5" t="s">
        <v>42</v>
      </c>
    </row>
    <row r="138" spans="2:12" ht="10.5" hidden="1">
      <c r="B138" s="15" t="s">
        <v>43</v>
      </c>
      <c r="F138" s="16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228.82</v>
      </c>
      <c r="L138" s="5" t="s">
        <v>44</v>
      </c>
    </row>
    <row r="139" spans="2:12" ht="10.5" hidden="1">
      <c r="B139" s="15" t="s">
        <v>45</v>
      </c>
      <c r="F139" s="16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228.82</v>
      </c>
      <c r="L139" s="5" t="s">
        <v>46</v>
      </c>
    </row>
    <row r="140" spans="1:10" ht="10.5">
      <c r="A140" s="17"/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2:18" ht="10.5">
      <c r="B141" s="9" t="s">
        <v>68</v>
      </c>
      <c r="E141" s="45"/>
      <c r="F141" s="43">
        <f>'Базовые концовки'!F7</f>
        <v>331766.48</v>
      </c>
      <c r="G141" s="43">
        <f>'Базовые концовки'!G7</f>
        <v>12963.61</v>
      </c>
      <c r="H141" s="21">
        <f>'Базовые концовки'!H7</f>
        <v>1120.02</v>
      </c>
      <c r="I141" s="46"/>
      <c r="J141" s="22">
        <f>'Базовые концовки'!J7</f>
        <v>1114.1722117</v>
      </c>
      <c r="N141" s="43">
        <f>'Базовые концовки'!L7</f>
        <v>317682.85</v>
      </c>
      <c r="R141" s="43">
        <f>'Базовые концовки'!M7</f>
        <v>0</v>
      </c>
    </row>
    <row r="142" spans="5:18" ht="10.5">
      <c r="E142" s="45"/>
      <c r="F142" s="43"/>
      <c r="G142" s="43"/>
      <c r="H142" s="20">
        <f>'Базовые концовки'!I7</f>
        <v>191.74</v>
      </c>
      <c r="I142" s="46"/>
      <c r="J142" s="8">
        <f>'Базовые концовки'!K7</f>
        <v>16.5768875</v>
      </c>
      <c r="N142" s="43"/>
      <c r="R142" s="43"/>
    </row>
    <row r="143" spans="2:18" ht="10.5" hidden="1">
      <c r="B143" s="9" t="s">
        <v>69</v>
      </c>
      <c r="E143" s="19"/>
      <c r="F143" s="20">
        <f>'Базовые концовки'!F8</f>
        <v>0</v>
      </c>
      <c r="G143" s="20">
        <f>'Базовые концовки'!G8</f>
        <v>0</v>
      </c>
      <c r="H143" s="20">
        <f>'Базовые концовки'!H8</f>
        <v>0</v>
      </c>
      <c r="J143" s="8">
        <f>'Базовые концовки'!J8</f>
        <v>0</v>
      </c>
      <c r="N143" s="20">
        <f>'Базовые концовки'!L8</f>
        <v>0</v>
      </c>
      <c r="R143" s="20">
        <f>'Базовые концовки'!M8</f>
        <v>0</v>
      </c>
    </row>
    <row r="144" spans="2:18" ht="10.5" hidden="1">
      <c r="B144" s="9" t="s">
        <v>70</v>
      </c>
      <c r="E144" s="19"/>
      <c r="F144" s="20">
        <f>'Базовые концовки'!F9</f>
        <v>0</v>
      </c>
      <c r="G144" s="20"/>
      <c r="H144" s="20"/>
      <c r="J144" s="8"/>
      <c r="N144" s="20"/>
      <c r="R144" s="20"/>
    </row>
    <row r="145" spans="2:18" ht="10.5" hidden="1">
      <c r="B145" s="9" t="s">
        <v>71</v>
      </c>
      <c r="E145" s="19"/>
      <c r="F145" s="20">
        <f>'Базовые концовки'!F10</f>
        <v>0</v>
      </c>
      <c r="G145" s="20"/>
      <c r="H145" s="20"/>
      <c r="J145" s="8"/>
      <c r="N145" s="20"/>
      <c r="R145" s="20"/>
    </row>
    <row r="146" spans="2:18" ht="10.5" hidden="1">
      <c r="B146" s="9" t="s">
        <v>72</v>
      </c>
      <c r="E146" s="19"/>
      <c r="F146" s="20">
        <f>'Базовые концовки'!F11</f>
        <v>0</v>
      </c>
      <c r="G146" s="20"/>
      <c r="H146" s="20"/>
      <c r="J146" s="8"/>
      <c r="N146" s="20"/>
      <c r="R146" s="20"/>
    </row>
    <row r="147" spans="2:18" ht="10.5" hidden="1">
      <c r="B147" s="9" t="s">
        <v>73</v>
      </c>
      <c r="E147" s="19"/>
      <c r="F147" s="20">
        <f>'Базовые концовки'!F12</f>
        <v>0</v>
      </c>
      <c r="G147" s="20"/>
      <c r="H147" s="20"/>
      <c r="J147" s="8"/>
      <c r="N147" s="20"/>
      <c r="R147" s="20"/>
    </row>
    <row r="148" spans="2:18" ht="10.5" hidden="1">
      <c r="B148" s="9" t="s">
        <v>74</v>
      </c>
      <c r="E148" s="19"/>
      <c r="F148" s="20">
        <f>'Базовые концовки'!F13</f>
        <v>0</v>
      </c>
      <c r="G148" s="20"/>
      <c r="H148" s="20"/>
      <c r="J148" s="8"/>
      <c r="N148" s="20"/>
      <c r="R148" s="20"/>
    </row>
    <row r="149" spans="2:18" ht="10.5" hidden="1">
      <c r="B149" s="9" t="s">
        <v>75</v>
      </c>
      <c r="E149" s="19"/>
      <c r="F149" s="20">
        <f>'Базовые концовки'!F14</f>
        <v>0</v>
      </c>
      <c r="G149" s="20"/>
      <c r="H149" s="20"/>
      <c r="J149" s="8"/>
      <c r="N149" s="20"/>
      <c r="R149" s="20"/>
    </row>
    <row r="150" spans="2:18" ht="10.5" hidden="1">
      <c r="B150" s="9" t="s">
        <v>76</v>
      </c>
      <c r="E150" s="19"/>
      <c r="F150" s="20">
        <f>'Базовые концовки'!F15</f>
        <v>0</v>
      </c>
      <c r="G150" s="20"/>
      <c r="H150" s="20"/>
      <c r="J150" s="8"/>
      <c r="N150" s="20"/>
      <c r="R150" s="20"/>
    </row>
    <row r="151" spans="2:18" ht="10.5" hidden="1">
      <c r="B151" s="9" t="s">
        <v>77</v>
      </c>
      <c r="E151" s="19"/>
      <c r="F151" s="20">
        <f>'Базовые концовки'!F16</f>
        <v>0</v>
      </c>
      <c r="G151" s="20"/>
      <c r="H151" s="20"/>
      <c r="J151" s="8"/>
      <c r="N151" s="20"/>
      <c r="R151" s="20"/>
    </row>
    <row r="152" spans="2:18" ht="10.5" hidden="1">
      <c r="B152" s="9" t="s">
        <v>78</v>
      </c>
      <c r="E152" s="19"/>
      <c r="F152" s="20">
        <f>'Базовые концовки'!F17</f>
        <v>0</v>
      </c>
      <c r="G152" s="20"/>
      <c r="H152" s="20"/>
      <c r="J152" s="8"/>
      <c r="N152" s="20"/>
      <c r="R152" s="20"/>
    </row>
    <row r="153" spans="2:18" ht="10.5" hidden="1">
      <c r="B153" s="9" t="s">
        <v>79</v>
      </c>
      <c r="E153" s="19"/>
      <c r="F153" s="20">
        <f>'Базовые концовки'!F18</f>
        <v>0</v>
      </c>
      <c r="G153" s="20">
        <f>'Базовые концовки'!G18</f>
        <v>0</v>
      </c>
      <c r="H153" s="20">
        <f>'Базовые концовки'!H18</f>
        <v>0</v>
      </c>
      <c r="J153" s="8">
        <f>'Базовые концовки'!J18</f>
        <v>0</v>
      </c>
      <c r="N153" s="20">
        <f>'Базовые концовки'!L18</f>
        <v>0</v>
      </c>
      <c r="R153" s="20">
        <f>'Базовые концовки'!M18</f>
        <v>0</v>
      </c>
    </row>
    <row r="154" spans="2:18" ht="10.5" hidden="1">
      <c r="B154" s="9" t="s">
        <v>80</v>
      </c>
      <c r="E154" s="19"/>
      <c r="F154" s="20"/>
      <c r="G154" s="20"/>
      <c r="H154" s="20"/>
      <c r="J154" s="8"/>
      <c r="N154" s="20"/>
      <c r="R154" s="20"/>
    </row>
    <row r="155" spans="2:18" ht="10.5" hidden="1">
      <c r="B155" s="9" t="s">
        <v>81</v>
      </c>
      <c r="E155" s="19"/>
      <c r="F155" s="20"/>
      <c r="G155" s="20">
        <f>'Базовые концовки'!G20</f>
        <v>0</v>
      </c>
      <c r="H155" s="20"/>
      <c r="J155" s="8"/>
      <c r="N155" s="20"/>
      <c r="R155" s="20"/>
    </row>
    <row r="156" spans="2:18" ht="10.5" hidden="1">
      <c r="B156" s="9" t="s">
        <v>82</v>
      </c>
      <c r="E156" s="19"/>
      <c r="F156" s="20">
        <f>'Базовые концовки'!F21</f>
        <v>0</v>
      </c>
      <c r="G156" s="20"/>
      <c r="H156" s="20"/>
      <c r="J156" s="8"/>
      <c r="N156" s="20"/>
      <c r="R156" s="20"/>
    </row>
    <row r="157" spans="2:18" ht="10.5" hidden="1">
      <c r="B157" s="9" t="s">
        <v>83</v>
      </c>
      <c r="E157" s="19"/>
      <c r="F157" s="20">
        <f>'Базовые концовки'!F22</f>
        <v>0</v>
      </c>
      <c r="G157" s="20"/>
      <c r="H157" s="20"/>
      <c r="J157" s="8"/>
      <c r="N157" s="20"/>
      <c r="R157" s="20"/>
    </row>
    <row r="158" spans="2:18" ht="10.5" hidden="1">
      <c r="B158" s="9" t="s">
        <v>84</v>
      </c>
      <c r="E158" s="19"/>
      <c r="F158" s="20">
        <f>'Базовые концовки'!F23</f>
        <v>0</v>
      </c>
      <c r="G158" s="20"/>
      <c r="H158" s="20"/>
      <c r="J158" s="8"/>
      <c r="N158" s="20"/>
      <c r="R158" s="20"/>
    </row>
    <row r="159" spans="2:18" ht="10.5" hidden="1">
      <c r="B159" s="9" t="s">
        <v>85</v>
      </c>
      <c r="E159" s="19"/>
      <c r="F159" s="20">
        <f>'Базовые концовки'!F24</f>
        <v>0</v>
      </c>
      <c r="G159" s="20"/>
      <c r="H159" s="20"/>
      <c r="J159" s="8"/>
      <c r="N159" s="20"/>
      <c r="R159" s="20"/>
    </row>
    <row r="160" spans="2:18" ht="10.5" hidden="1">
      <c r="B160" s="9" t="s">
        <v>86</v>
      </c>
      <c r="E160" s="19"/>
      <c r="F160" s="20">
        <f>'Базовые концовки'!F25</f>
        <v>0</v>
      </c>
      <c r="G160" s="20"/>
      <c r="H160" s="20"/>
      <c r="J160" s="8"/>
      <c r="N160" s="20"/>
      <c r="R160" s="20"/>
    </row>
    <row r="161" spans="2:18" ht="10.5" hidden="1">
      <c r="B161" s="9" t="s">
        <v>77</v>
      </c>
      <c r="E161" s="19"/>
      <c r="F161" s="20">
        <f>'Базовые концовки'!F26</f>
        <v>0</v>
      </c>
      <c r="G161" s="20"/>
      <c r="H161" s="20"/>
      <c r="J161" s="8"/>
      <c r="N161" s="20"/>
      <c r="R161" s="20"/>
    </row>
    <row r="162" spans="2:18" ht="10.5" hidden="1">
      <c r="B162" s="9" t="s">
        <v>87</v>
      </c>
      <c r="E162" s="19"/>
      <c r="F162" s="20">
        <f>'Базовые концовки'!F27</f>
        <v>0</v>
      </c>
      <c r="G162" s="20"/>
      <c r="H162" s="20"/>
      <c r="J162" s="8"/>
      <c r="N162" s="20"/>
      <c r="R162" s="20"/>
    </row>
    <row r="163" spans="2:18" ht="10.5">
      <c r="B163" s="9" t="s">
        <v>88</v>
      </c>
      <c r="E163" s="45"/>
      <c r="F163" s="43">
        <f>'Базовые концовки'!F28</f>
        <v>330674.21</v>
      </c>
      <c r="G163" s="43">
        <f>'Базовые концовки'!G28</f>
        <v>12884.25</v>
      </c>
      <c r="H163" s="21">
        <f>'Базовые концовки'!H28</f>
        <v>1107.49</v>
      </c>
      <c r="I163" s="46"/>
      <c r="J163" s="22">
        <f>'Базовые концовки'!J28</f>
        <v>1106.8101917</v>
      </c>
      <c r="N163" s="43">
        <f>'Базовые концовки'!L28</f>
        <v>316682.47</v>
      </c>
      <c r="R163" s="43">
        <f>'Базовые концовки'!M28</f>
        <v>0</v>
      </c>
    </row>
    <row r="164" spans="5:18" ht="10.5">
      <c r="E164" s="45"/>
      <c r="F164" s="43"/>
      <c r="G164" s="43"/>
      <c r="H164" s="20">
        <f>'Базовые концовки'!I28</f>
        <v>191.06</v>
      </c>
      <c r="I164" s="46"/>
      <c r="J164" s="8">
        <f>'Базовые концовки'!K28</f>
        <v>16.5352375</v>
      </c>
      <c r="N164" s="43"/>
      <c r="R164" s="43"/>
    </row>
    <row r="165" spans="2:18" ht="10.5" hidden="1">
      <c r="B165" s="9" t="s">
        <v>80</v>
      </c>
      <c r="E165" s="19"/>
      <c r="F165" s="20"/>
      <c r="G165" s="20"/>
      <c r="H165" s="20"/>
      <c r="J165" s="8"/>
      <c r="N165" s="20"/>
      <c r="R165" s="20"/>
    </row>
    <row r="166" spans="2:18" ht="10.5">
      <c r="B166" s="9" t="s">
        <v>89</v>
      </c>
      <c r="E166" s="19"/>
      <c r="F166" s="20">
        <f>'Базовые концовки'!F30</f>
        <v>1006.38</v>
      </c>
      <c r="G166" s="20"/>
      <c r="H166" s="20"/>
      <c r="J166" s="8"/>
      <c r="N166" s="20"/>
      <c r="R166" s="20"/>
    </row>
    <row r="167" spans="2:18" ht="10.5" hidden="1">
      <c r="B167" s="9" t="s">
        <v>84</v>
      </c>
      <c r="E167" s="19"/>
      <c r="F167" s="20">
        <f>'Базовые концовки'!F31</f>
        <v>0</v>
      </c>
      <c r="G167" s="20"/>
      <c r="H167" s="20"/>
      <c r="J167" s="8"/>
      <c r="N167" s="20"/>
      <c r="R167" s="20"/>
    </row>
    <row r="168" spans="2:18" ht="31.5">
      <c r="B168" s="74" t="s">
        <v>90</v>
      </c>
      <c r="E168" s="19"/>
      <c r="F168" s="20">
        <f>'Базовые концовки'!F32</f>
        <v>13292.77</v>
      </c>
      <c r="G168" s="20"/>
      <c r="H168" s="20"/>
      <c r="J168" s="8"/>
      <c r="N168" s="20"/>
      <c r="R168" s="20"/>
    </row>
    <row r="169" spans="2:18" ht="31.5">
      <c r="B169" s="74" t="s">
        <v>91</v>
      </c>
      <c r="E169" s="19"/>
      <c r="F169" s="20">
        <f>'Базовые концовки'!F33</f>
        <v>7712.8</v>
      </c>
      <c r="G169" s="20"/>
      <c r="H169" s="20"/>
      <c r="J169" s="8"/>
      <c r="N169" s="20"/>
      <c r="R169" s="20"/>
    </row>
    <row r="170" spans="2:18" ht="10.5">
      <c r="B170" s="9" t="s">
        <v>92</v>
      </c>
      <c r="E170" s="19"/>
      <c r="F170" s="20">
        <f>'Базовые концовки'!F34</f>
        <v>351679.78</v>
      </c>
      <c r="G170" s="20"/>
      <c r="H170" s="20"/>
      <c r="J170" s="8"/>
      <c r="N170" s="20"/>
      <c r="R170" s="20"/>
    </row>
    <row r="171" spans="2:18" ht="10.5">
      <c r="B171" s="9" t="s">
        <v>93</v>
      </c>
      <c r="E171" s="45"/>
      <c r="F171" s="43">
        <f>'Базовые концовки'!F35</f>
        <v>1092.27</v>
      </c>
      <c r="G171" s="43">
        <f>'Базовые концовки'!G35</f>
        <v>79.36</v>
      </c>
      <c r="H171" s="21">
        <f>'Базовые концовки'!H35</f>
        <v>12.53</v>
      </c>
      <c r="I171" s="46"/>
      <c r="J171" s="22">
        <f>'Базовые концовки'!J35</f>
        <v>7.36202</v>
      </c>
      <c r="N171" s="43">
        <f>'Базовые концовки'!L35</f>
        <v>1000.38</v>
      </c>
      <c r="R171" s="43">
        <f>'Базовые концовки'!M35</f>
        <v>0</v>
      </c>
    </row>
    <row r="172" spans="5:18" ht="10.5">
      <c r="E172" s="45"/>
      <c r="F172" s="43"/>
      <c r="G172" s="43"/>
      <c r="H172" s="20">
        <f>'Базовые концовки'!I35</f>
        <v>0.68</v>
      </c>
      <c r="I172" s="46"/>
      <c r="J172" s="8">
        <f>'Базовые концовки'!K35</f>
        <v>0.04165</v>
      </c>
      <c r="N172" s="43"/>
      <c r="R172" s="43"/>
    </row>
    <row r="173" spans="2:18" ht="10.5" hidden="1">
      <c r="B173" s="9" t="s">
        <v>84</v>
      </c>
      <c r="E173" s="19"/>
      <c r="F173" s="20">
        <f>'Базовые концовки'!F36</f>
        <v>0</v>
      </c>
      <c r="G173" s="20"/>
      <c r="H173" s="20"/>
      <c r="J173" s="8"/>
      <c r="N173" s="20"/>
      <c r="R173" s="20"/>
    </row>
    <row r="174" spans="2:18" ht="10.5">
      <c r="B174" s="9" t="s">
        <v>94</v>
      </c>
      <c r="E174" s="19"/>
      <c r="F174" s="20">
        <f>'Базовые концовки'!F37</f>
        <v>64.83</v>
      </c>
      <c r="G174" s="20"/>
      <c r="H174" s="20"/>
      <c r="J174" s="8"/>
      <c r="N174" s="20"/>
      <c r="R174" s="20"/>
    </row>
    <row r="175" spans="2:18" ht="10.5">
      <c r="B175" s="9" t="s">
        <v>95</v>
      </c>
      <c r="E175" s="19"/>
      <c r="F175" s="20">
        <f>'Базовые концовки'!F38</f>
        <v>57.63</v>
      </c>
      <c r="G175" s="20"/>
      <c r="H175" s="20"/>
      <c r="J175" s="8"/>
      <c r="N175" s="20"/>
      <c r="R175" s="20"/>
    </row>
    <row r="176" spans="2:18" ht="10.5">
      <c r="B176" s="9" t="s">
        <v>96</v>
      </c>
      <c r="E176" s="19"/>
      <c r="F176" s="20">
        <f>'Базовые концовки'!F39</f>
        <v>1214.73</v>
      </c>
      <c r="G176" s="20"/>
      <c r="H176" s="20"/>
      <c r="J176" s="8"/>
      <c r="N176" s="20"/>
      <c r="R176" s="20"/>
    </row>
    <row r="177" spans="2:18" ht="10.5" hidden="1">
      <c r="B177" s="9" t="s">
        <v>97</v>
      </c>
      <c r="E177" s="19"/>
      <c r="F177" s="20">
        <f>'Базовые концовки'!F40</f>
        <v>0</v>
      </c>
      <c r="G177" s="20">
        <f>'Базовые концовки'!G40</f>
        <v>0</v>
      </c>
      <c r="H177" s="20">
        <f>'Базовые концовки'!H40</f>
        <v>0</v>
      </c>
      <c r="J177" s="8">
        <f>'Базовые концовки'!J40</f>
        <v>0</v>
      </c>
      <c r="N177" s="20">
        <f>'Базовые концовки'!L40</f>
        <v>0</v>
      </c>
      <c r="R177" s="20">
        <f>'Базовые концовки'!M40</f>
        <v>0</v>
      </c>
    </row>
    <row r="178" spans="2:18" ht="10.5" hidden="1">
      <c r="B178" s="9" t="s">
        <v>80</v>
      </c>
      <c r="E178" s="19"/>
      <c r="F178" s="20"/>
      <c r="G178" s="20"/>
      <c r="H178" s="20"/>
      <c r="J178" s="8"/>
      <c r="N178" s="20"/>
      <c r="R178" s="20"/>
    </row>
    <row r="179" spans="2:18" ht="10.5" hidden="1">
      <c r="B179" s="9" t="s">
        <v>98</v>
      </c>
      <c r="E179" s="19"/>
      <c r="F179" s="20">
        <f>'Базовые концовки'!F42</f>
        <v>0</v>
      </c>
      <c r="G179" s="20"/>
      <c r="H179" s="20"/>
      <c r="J179" s="8"/>
      <c r="N179" s="20"/>
      <c r="R179" s="20"/>
    </row>
    <row r="180" spans="2:18" ht="10.5" hidden="1">
      <c r="B180" s="9" t="s">
        <v>84</v>
      </c>
      <c r="E180" s="19"/>
      <c r="F180" s="20">
        <f>'Базовые концовки'!F43</f>
        <v>0</v>
      </c>
      <c r="G180" s="20"/>
      <c r="H180" s="20"/>
      <c r="J180" s="8"/>
      <c r="N180" s="20"/>
      <c r="R180" s="20"/>
    </row>
    <row r="181" spans="2:18" ht="10.5" hidden="1">
      <c r="B181" s="9" t="s">
        <v>85</v>
      </c>
      <c r="E181" s="19"/>
      <c r="F181" s="20">
        <f>'Базовые концовки'!F44</f>
        <v>0</v>
      </c>
      <c r="G181" s="20"/>
      <c r="H181" s="20"/>
      <c r="J181" s="8"/>
      <c r="N181" s="20"/>
      <c r="R181" s="20"/>
    </row>
    <row r="182" spans="2:18" ht="10.5" hidden="1">
      <c r="B182" s="9" t="s">
        <v>86</v>
      </c>
      <c r="E182" s="19"/>
      <c r="F182" s="20">
        <f>'Базовые концовки'!F45</f>
        <v>0</v>
      </c>
      <c r="G182" s="20"/>
      <c r="H182" s="20"/>
      <c r="J182" s="8"/>
      <c r="N182" s="20"/>
      <c r="R182" s="20"/>
    </row>
    <row r="183" spans="2:18" ht="10.5" hidden="1">
      <c r="B183" s="9" t="s">
        <v>77</v>
      </c>
      <c r="E183" s="19"/>
      <c r="F183" s="20">
        <f>'Базовые концовки'!F46</f>
        <v>0</v>
      </c>
      <c r="G183" s="20"/>
      <c r="H183" s="20"/>
      <c r="J183" s="8"/>
      <c r="N183" s="20"/>
      <c r="R183" s="20"/>
    </row>
    <row r="184" spans="2:18" ht="10.5" hidden="1">
      <c r="B184" s="9" t="s">
        <v>99</v>
      </c>
      <c r="E184" s="19"/>
      <c r="F184" s="20">
        <f>'Базовые концовки'!F47</f>
        <v>0</v>
      </c>
      <c r="G184" s="20"/>
      <c r="H184" s="20"/>
      <c r="J184" s="8"/>
      <c r="N184" s="20"/>
      <c r="R184" s="20"/>
    </row>
    <row r="185" spans="2:18" ht="10.5" hidden="1">
      <c r="B185" s="9" t="s">
        <v>100</v>
      </c>
      <c r="E185" s="19"/>
      <c r="F185" s="20">
        <f>'Базовые концовки'!F48</f>
        <v>0</v>
      </c>
      <c r="G185" s="20">
        <f>'Базовые концовки'!G48</f>
        <v>0</v>
      </c>
      <c r="H185" s="20">
        <f>'Базовые концовки'!H48</f>
        <v>0</v>
      </c>
      <c r="J185" s="8">
        <f>'Базовые концовки'!J48</f>
        <v>0</v>
      </c>
      <c r="N185" s="20">
        <f>'Базовые концовки'!L48</f>
        <v>0</v>
      </c>
      <c r="R185" s="20">
        <f>'Базовые концовки'!M48</f>
        <v>0</v>
      </c>
    </row>
    <row r="186" spans="2:18" ht="10.5" hidden="1">
      <c r="B186" s="9" t="s">
        <v>84</v>
      </c>
      <c r="E186" s="19"/>
      <c r="F186" s="20">
        <f>'Базовые концовки'!F49</f>
        <v>0</v>
      </c>
      <c r="G186" s="20"/>
      <c r="H186" s="20"/>
      <c r="J186" s="8"/>
      <c r="N186" s="20"/>
      <c r="R186" s="20"/>
    </row>
    <row r="187" spans="2:18" ht="10.5" hidden="1">
      <c r="B187" s="9" t="s">
        <v>85</v>
      </c>
      <c r="E187" s="19"/>
      <c r="F187" s="20">
        <f>'Базовые концовки'!F50</f>
        <v>0</v>
      </c>
      <c r="G187" s="20"/>
      <c r="H187" s="20"/>
      <c r="J187" s="8"/>
      <c r="N187" s="20"/>
      <c r="R187" s="20"/>
    </row>
    <row r="188" spans="2:18" ht="10.5" hidden="1">
      <c r="B188" s="9" t="s">
        <v>86</v>
      </c>
      <c r="E188" s="19"/>
      <c r="F188" s="20">
        <f>'Базовые концовки'!F51</f>
        <v>0</v>
      </c>
      <c r="G188" s="20"/>
      <c r="H188" s="20"/>
      <c r="J188" s="8"/>
      <c r="N188" s="20"/>
      <c r="R188" s="20"/>
    </row>
    <row r="189" spans="2:18" ht="10.5" hidden="1">
      <c r="B189" s="9" t="s">
        <v>101</v>
      </c>
      <c r="E189" s="19"/>
      <c r="F189" s="20">
        <f>'Базовые концовки'!F52</f>
        <v>0</v>
      </c>
      <c r="G189" s="20"/>
      <c r="H189" s="20"/>
      <c r="J189" s="8"/>
      <c r="N189" s="20"/>
      <c r="R189" s="20"/>
    </row>
    <row r="190" spans="2:18" ht="10.5" hidden="1">
      <c r="B190" s="9" t="s">
        <v>102</v>
      </c>
      <c r="E190" s="19"/>
      <c r="F190" s="20">
        <f>'Базовые концовки'!F53</f>
        <v>0</v>
      </c>
      <c r="G190" s="20">
        <f>'Базовые концовки'!G53</f>
        <v>0</v>
      </c>
      <c r="H190" s="20">
        <f>'Базовые концовки'!H53</f>
        <v>0</v>
      </c>
      <c r="J190" s="8">
        <f>'Базовые концовки'!J53</f>
        <v>0</v>
      </c>
      <c r="N190" s="20">
        <f>'Базовые концовки'!L53</f>
        <v>0</v>
      </c>
      <c r="R190" s="20">
        <f>'Базовые концовки'!M53</f>
        <v>0</v>
      </c>
    </row>
    <row r="191" spans="2:18" ht="10.5" hidden="1">
      <c r="B191" s="9" t="s">
        <v>84</v>
      </c>
      <c r="E191" s="19"/>
      <c r="F191" s="20">
        <f>'Базовые концовки'!F54</f>
        <v>0</v>
      </c>
      <c r="G191" s="20"/>
      <c r="H191" s="20"/>
      <c r="J191" s="8"/>
      <c r="N191" s="20"/>
      <c r="R191" s="20"/>
    </row>
    <row r="192" spans="2:18" ht="10.5" hidden="1">
      <c r="B192" s="9" t="s">
        <v>85</v>
      </c>
      <c r="E192" s="19"/>
      <c r="F192" s="20">
        <f>'Базовые концовки'!F55</f>
        <v>0</v>
      </c>
      <c r="G192" s="20"/>
      <c r="H192" s="20"/>
      <c r="J192" s="8"/>
      <c r="N192" s="20"/>
      <c r="R192" s="20"/>
    </row>
    <row r="193" spans="2:18" ht="10.5" hidden="1">
      <c r="B193" s="9" t="s">
        <v>86</v>
      </c>
      <c r="E193" s="19"/>
      <c r="F193" s="20">
        <f>'Базовые концовки'!F56</f>
        <v>0</v>
      </c>
      <c r="G193" s="20"/>
      <c r="H193" s="20"/>
      <c r="J193" s="8"/>
      <c r="N193" s="20"/>
      <c r="R193" s="20"/>
    </row>
    <row r="194" spans="2:18" ht="10.5" hidden="1">
      <c r="B194" s="9" t="s">
        <v>103</v>
      </c>
      <c r="E194" s="19"/>
      <c r="F194" s="20">
        <f>'Базовые концовки'!F57</f>
        <v>0</v>
      </c>
      <c r="G194" s="20"/>
      <c r="H194" s="20"/>
      <c r="J194" s="8"/>
      <c r="N194" s="20"/>
      <c r="R194" s="20"/>
    </row>
    <row r="195" spans="2:18" ht="10.5" hidden="1">
      <c r="B195" s="9" t="s">
        <v>104</v>
      </c>
      <c r="E195" s="19"/>
      <c r="F195" s="20">
        <f>'Базовые концовки'!F58</f>
        <v>0</v>
      </c>
      <c r="G195" s="20">
        <f>'Базовые концовки'!G58</f>
        <v>0</v>
      </c>
      <c r="H195" s="20">
        <f>'Базовые концовки'!H58</f>
        <v>0</v>
      </c>
      <c r="J195" s="8">
        <f>'Базовые концовки'!J58</f>
        <v>0</v>
      </c>
      <c r="N195" s="20">
        <f>'Базовые концовки'!L58</f>
        <v>0</v>
      </c>
      <c r="R195" s="20">
        <f>'Базовые концовки'!M58</f>
        <v>0</v>
      </c>
    </row>
    <row r="196" spans="2:18" ht="10.5" hidden="1">
      <c r="B196" s="9" t="s">
        <v>80</v>
      </c>
      <c r="E196" s="19"/>
      <c r="F196" s="20"/>
      <c r="G196" s="20"/>
      <c r="H196" s="20"/>
      <c r="J196" s="8"/>
      <c r="N196" s="20"/>
      <c r="R196" s="20"/>
    </row>
    <row r="197" spans="2:18" ht="10.5" hidden="1">
      <c r="B197" s="9" t="s">
        <v>105</v>
      </c>
      <c r="E197" s="19"/>
      <c r="F197" s="20">
        <f>'Базовые концовки'!F60</f>
        <v>1006.38</v>
      </c>
      <c r="G197" s="20"/>
      <c r="H197" s="20"/>
      <c r="J197" s="8"/>
      <c r="N197" s="20"/>
      <c r="R197" s="20"/>
    </row>
    <row r="198" spans="2:18" ht="10.5" hidden="1">
      <c r="B198" s="9" t="s">
        <v>84</v>
      </c>
      <c r="E198" s="19"/>
      <c r="F198" s="20">
        <f>'Базовые концовки'!F61</f>
        <v>0</v>
      </c>
      <c r="G198" s="20"/>
      <c r="H198" s="20"/>
      <c r="J198" s="8"/>
      <c r="N198" s="20"/>
      <c r="R198" s="20"/>
    </row>
    <row r="199" spans="2:18" ht="10.5" hidden="1">
      <c r="B199" s="9" t="s">
        <v>106</v>
      </c>
      <c r="E199" s="19"/>
      <c r="F199" s="20">
        <f>'Базовые концовки'!F62</f>
        <v>0</v>
      </c>
      <c r="G199" s="20"/>
      <c r="H199" s="20"/>
      <c r="J199" s="8"/>
      <c r="N199" s="20"/>
      <c r="R199" s="20"/>
    </row>
    <row r="200" spans="2:18" ht="10.5" hidden="1">
      <c r="B200" s="9" t="s">
        <v>86</v>
      </c>
      <c r="E200" s="19"/>
      <c r="F200" s="20">
        <f>'Базовые концовки'!F63</f>
        <v>0</v>
      </c>
      <c r="G200" s="20"/>
      <c r="H200" s="20"/>
      <c r="J200" s="8"/>
      <c r="N200" s="20"/>
      <c r="R200" s="20"/>
    </row>
    <row r="201" spans="2:18" ht="10.5" hidden="1">
      <c r="B201" s="9" t="s">
        <v>107</v>
      </c>
      <c r="E201" s="19"/>
      <c r="F201" s="20">
        <f>'Базовые концовки'!F64</f>
        <v>0</v>
      </c>
      <c r="G201" s="20"/>
      <c r="H201" s="20"/>
      <c r="J201" s="8"/>
      <c r="N201" s="20"/>
      <c r="R201" s="20"/>
    </row>
    <row r="202" spans="2:18" ht="10.5" hidden="1">
      <c r="B202" s="9" t="s">
        <v>108</v>
      </c>
      <c r="E202" s="19"/>
      <c r="F202" s="20">
        <f>'Базовые концовки'!F65</f>
        <v>0</v>
      </c>
      <c r="G202" s="20">
        <f>'Базовые концовки'!G65</f>
        <v>0</v>
      </c>
      <c r="H202" s="20">
        <f>'Базовые концовки'!H65</f>
        <v>0</v>
      </c>
      <c r="J202" s="8">
        <f>'Базовые концовки'!J65</f>
        <v>0</v>
      </c>
      <c r="N202" s="20">
        <f>'Базовые концовки'!L65</f>
        <v>0</v>
      </c>
      <c r="R202" s="20">
        <f>'Базовые концовки'!M65</f>
        <v>0</v>
      </c>
    </row>
    <row r="203" spans="2:18" ht="10.5" hidden="1">
      <c r="B203" s="9" t="s">
        <v>106</v>
      </c>
      <c r="E203" s="19"/>
      <c r="F203" s="20">
        <f>'Базовые концовки'!F66</f>
        <v>0</v>
      </c>
      <c r="G203" s="20"/>
      <c r="H203" s="20"/>
      <c r="J203" s="8"/>
      <c r="N203" s="20"/>
      <c r="R203" s="20"/>
    </row>
    <row r="204" spans="2:18" ht="10.5" hidden="1">
      <c r="B204" s="9" t="s">
        <v>86</v>
      </c>
      <c r="E204" s="19"/>
      <c r="F204" s="20">
        <f>'Базовые концовки'!F67</f>
        <v>0</v>
      </c>
      <c r="G204" s="20"/>
      <c r="H204" s="20"/>
      <c r="J204" s="8"/>
      <c r="N204" s="20"/>
      <c r="R204" s="20"/>
    </row>
    <row r="205" spans="2:18" ht="10.5" hidden="1">
      <c r="B205" s="9" t="s">
        <v>109</v>
      </c>
      <c r="E205" s="19"/>
      <c r="F205" s="20">
        <f>'Базовые концовки'!F68</f>
        <v>0</v>
      </c>
      <c r="G205" s="20"/>
      <c r="H205" s="20"/>
      <c r="J205" s="8"/>
      <c r="N205" s="20"/>
      <c r="R205" s="20"/>
    </row>
    <row r="206" spans="2:18" ht="10.5" hidden="1">
      <c r="B206" s="9" t="s">
        <v>110</v>
      </c>
      <c r="E206" s="19"/>
      <c r="F206" s="20">
        <f>'Базовые концовки'!F69</f>
        <v>0</v>
      </c>
      <c r="G206" s="20">
        <f>'Базовые концовки'!G69</f>
        <v>0</v>
      </c>
      <c r="H206" s="20">
        <f>'Базовые концовки'!H69</f>
        <v>0</v>
      </c>
      <c r="J206" s="8">
        <f>'Базовые концовки'!J69</f>
        <v>0</v>
      </c>
      <c r="N206" s="20">
        <f>'Базовые концовки'!L69</f>
        <v>0</v>
      </c>
      <c r="R206" s="20">
        <f>'Базовые концовки'!M69</f>
        <v>0</v>
      </c>
    </row>
    <row r="207" spans="2:18" ht="10.5" hidden="1">
      <c r="B207" s="9" t="s">
        <v>84</v>
      </c>
      <c r="E207" s="19"/>
      <c r="F207" s="20">
        <f>'Базовые концовки'!F70</f>
        <v>0</v>
      </c>
      <c r="G207" s="20"/>
      <c r="H207" s="20"/>
      <c r="J207" s="8"/>
      <c r="N207" s="20"/>
      <c r="R207" s="20"/>
    </row>
    <row r="208" spans="2:18" ht="10.5" hidden="1">
      <c r="B208" s="9" t="s">
        <v>106</v>
      </c>
      <c r="E208" s="19"/>
      <c r="F208" s="20">
        <f>'Базовые концовки'!F71</f>
        <v>0</v>
      </c>
      <c r="G208" s="20"/>
      <c r="H208" s="20"/>
      <c r="J208" s="8"/>
      <c r="N208" s="20"/>
      <c r="R208" s="20"/>
    </row>
    <row r="209" spans="2:18" ht="10.5" hidden="1">
      <c r="B209" s="9" t="s">
        <v>86</v>
      </c>
      <c r="E209" s="19"/>
      <c r="F209" s="20">
        <f>'Базовые концовки'!F72</f>
        <v>0</v>
      </c>
      <c r="G209" s="20"/>
      <c r="H209" s="20"/>
      <c r="J209" s="8"/>
      <c r="N209" s="20"/>
      <c r="R209" s="20"/>
    </row>
    <row r="210" spans="2:18" ht="10.5" hidden="1">
      <c r="B210" s="9" t="s">
        <v>111</v>
      </c>
      <c r="E210" s="19"/>
      <c r="F210" s="20">
        <f>'Базовые концовки'!F73</f>
        <v>0</v>
      </c>
      <c r="G210" s="20"/>
      <c r="H210" s="20"/>
      <c r="J210" s="8"/>
      <c r="N210" s="20"/>
      <c r="R210" s="20"/>
    </row>
    <row r="211" spans="2:18" ht="10.5" hidden="1">
      <c r="B211" s="9" t="s">
        <v>112</v>
      </c>
      <c r="E211" s="19"/>
      <c r="F211" s="20">
        <f>'Базовые концовки'!F74</f>
        <v>0</v>
      </c>
      <c r="G211" s="20">
        <f>'Базовые концовки'!G74</f>
        <v>0</v>
      </c>
      <c r="H211" s="20">
        <f>'Базовые концовки'!H74</f>
        <v>0</v>
      </c>
      <c r="J211" s="8">
        <f>'Базовые концовки'!J74</f>
        <v>0</v>
      </c>
      <c r="N211" s="20">
        <f>'Базовые концовки'!L74</f>
        <v>0</v>
      </c>
      <c r="R211" s="20">
        <f>'Базовые концовки'!M74</f>
        <v>0</v>
      </c>
    </row>
    <row r="212" spans="2:18" ht="10.5" hidden="1">
      <c r="B212" s="9" t="s">
        <v>84</v>
      </c>
      <c r="E212" s="19"/>
      <c r="F212" s="20">
        <f>'Базовые концовки'!F75</f>
        <v>0</v>
      </c>
      <c r="G212" s="20"/>
      <c r="H212" s="20"/>
      <c r="J212" s="8"/>
      <c r="N212" s="20"/>
      <c r="R212" s="20"/>
    </row>
    <row r="213" spans="2:18" ht="10.5">
      <c r="B213" s="9" t="s">
        <v>113</v>
      </c>
      <c r="E213" s="19"/>
      <c r="F213" s="20">
        <f>'Базовые концовки'!F76</f>
        <v>352894.51</v>
      </c>
      <c r="G213" s="20">
        <f>'Базовые концовки'!G76</f>
        <v>0</v>
      </c>
      <c r="H213" s="20">
        <f>'Базовые концовки'!H76</f>
        <v>0</v>
      </c>
      <c r="J213" s="8">
        <f>'Базовые концовки'!J76</f>
        <v>0</v>
      </c>
      <c r="N213" s="20">
        <f>'Базовые концовки'!L76</f>
        <v>0</v>
      </c>
      <c r="R213" s="20">
        <f>'Базовые концовки'!M76</f>
        <v>0</v>
      </c>
    </row>
    <row r="214" spans="2:18" ht="10.5" hidden="1">
      <c r="B214" s="9" t="s">
        <v>114</v>
      </c>
      <c r="E214" s="19"/>
      <c r="F214" s="20">
        <f>'Базовые концовки'!F77</f>
        <v>0</v>
      </c>
      <c r="G214" s="20"/>
      <c r="H214" s="20"/>
      <c r="J214" s="8"/>
      <c r="N214" s="20"/>
      <c r="R214" s="20"/>
    </row>
    <row r="215" spans="2:18" ht="10.5">
      <c r="B215" s="9" t="s">
        <v>115</v>
      </c>
      <c r="E215" s="19"/>
      <c r="F215" s="20">
        <f>'Базовые концовки'!F78</f>
        <v>13357.6</v>
      </c>
      <c r="G215" s="20"/>
      <c r="H215" s="20"/>
      <c r="J215" s="8"/>
      <c r="N215" s="20"/>
      <c r="R215" s="20"/>
    </row>
    <row r="216" spans="2:18" ht="10.5">
      <c r="B216" s="9" t="s">
        <v>116</v>
      </c>
      <c r="E216" s="19"/>
      <c r="F216" s="20">
        <f>'Базовые концовки'!F79</f>
        <v>7770.43</v>
      </c>
      <c r="G216" s="20"/>
      <c r="H216" s="20"/>
      <c r="J216" s="8"/>
      <c r="N216" s="20"/>
      <c r="R216" s="20"/>
    </row>
    <row r="217" spans="2:18" ht="10.5">
      <c r="B217" s="9" t="s">
        <v>117</v>
      </c>
      <c r="E217" s="19">
        <v>3.38</v>
      </c>
      <c r="F217" s="20">
        <f>'Базовые концовки'!F80</f>
        <v>1192783.44</v>
      </c>
      <c r="G217" s="20"/>
      <c r="H217" s="20"/>
      <c r="J217" s="8"/>
      <c r="N217" s="20"/>
      <c r="R217" s="20"/>
    </row>
    <row r="218" spans="2:18" ht="10.5">
      <c r="B218" s="9" t="s">
        <v>118</v>
      </c>
      <c r="E218" s="19">
        <v>18</v>
      </c>
      <c r="F218" s="20">
        <f>'Базовые концовки'!F81</f>
        <v>214701.02</v>
      </c>
      <c r="G218" s="20"/>
      <c r="H218" s="20"/>
      <c r="J218" s="8"/>
      <c r="N218" s="20"/>
      <c r="R218" s="20"/>
    </row>
    <row r="219" spans="2:18" ht="10.5">
      <c r="B219" s="9" t="s">
        <v>119</v>
      </c>
      <c r="E219" s="19"/>
      <c r="F219" s="20">
        <f>'Базовые концовки'!F82</f>
        <v>1407484.46</v>
      </c>
      <c r="G219" s="20"/>
      <c r="H219" s="20"/>
      <c r="J219" s="8"/>
      <c r="N219" s="20"/>
      <c r="R219" s="20"/>
    </row>
    <row r="220" spans="2:18" ht="10.5" hidden="1">
      <c r="B220" s="9" t="s">
        <v>120</v>
      </c>
      <c r="E220" s="19"/>
      <c r="F220" s="20"/>
      <c r="G220" s="20"/>
      <c r="H220" s="20"/>
      <c r="J220" s="8"/>
      <c r="N220" s="20">
        <f>'Базовые концовки'!L83</f>
        <v>0</v>
      </c>
      <c r="R220" s="20"/>
    </row>
    <row r="221" spans="2:18" ht="10.5" hidden="1">
      <c r="B221" s="9" t="s">
        <v>121</v>
      </c>
      <c r="E221" s="19"/>
      <c r="F221" s="20">
        <f>'Базовые концовки'!F84</f>
        <v>12963.61</v>
      </c>
      <c r="G221" s="20"/>
      <c r="H221" s="20"/>
      <c r="J221" s="8"/>
      <c r="N221" s="20"/>
      <c r="R221" s="20"/>
    </row>
    <row r="222" spans="2:18" ht="10.5" hidden="1">
      <c r="B222" s="9" t="s">
        <v>122</v>
      </c>
      <c r="E222" s="19"/>
      <c r="F222" s="20">
        <f>'Базовые концовки'!F85</f>
        <v>191.74</v>
      </c>
      <c r="G222" s="20"/>
      <c r="H222" s="20"/>
      <c r="J222" s="8"/>
      <c r="N222" s="20"/>
      <c r="R222" s="20"/>
    </row>
    <row r="223" spans="2:18" ht="10.5" hidden="1">
      <c r="B223" s="9" t="s">
        <v>123</v>
      </c>
      <c r="E223" s="19"/>
      <c r="F223" s="20">
        <f>'Базовые концовки'!F86</f>
        <v>13155.35</v>
      </c>
      <c r="G223" s="20"/>
      <c r="H223" s="20"/>
      <c r="J223" s="8"/>
      <c r="N223" s="20"/>
      <c r="R223" s="20"/>
    </row>
    <row r="224" spans="2:18" ht="10.5" hidden="1">
      <c r="B224" s="9" t="s">
        <v>124</v>
      </c>
      <c r="E224" s="19"/>
      <c r="F224" s="20"/>
      <c r="G224" s="20"/>
      <c r="H224" s="20"/>
      <c r="J224" s="8">
        <f>'Базовые концовки'!J87</f>
        <v>1114.1722117</v>
      </c>
      <c r="N224" s="20"/>
      <c r="R224" s="20"/>
    </row>
    <row r="225" spans="2:18" ht="10.5" hidden="1">
      <c r="B225" s="9" t="s">
        <v>125</v>
      </c>
      <c r="E225" s="19"/>
      <c r="F225" s="20"/>
      <c r="G225" s="20"/>
      <c r="H225" s="20"/>
      <c r="J225" s="8">
        <f>'Базовые концовки'!J88</f>
        <v>16.5768875</v>
      </c>
      <c r="N225" s="20"/>
      <c r="R225" s="20"/>
    </row>
    <row r="226" spans="2:18" ht="10.5" hidden="1">
      <c r="B226" s="9" t="s">
        <v>126</v>
      </c>
      <c r="E226" s="19"/>
      <c r="F226" s="20"/>
      <c r="G226" s="20"/>
      <c r="H226" s="20"/>
      <c r="J226" s="8">
        <f>'Базовые концовки'!J89</f>
        <v>1130.7490992</v>
      </c>
      <c r="N226" s="20"/>
      <c r="R226" s="20"/>
    </row>
    <row r="228" spans="2:12" ht="10.5">
      <c r="B228" s="75" t="s">
        <v>127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</row>
    <row r="229" spans="2:12" ht="10.5">
      <c r="B229" s="69"/>
      <c r="C229" s="77" t="s">
        <v>323</v>
      </c>
      <c r="D229" s="77"/>
      <c r="E229" s="77"/>
      <c r="F229" s="77"/>
      <c r="G229" s="77"/>
      <c r="H229" s="77"/>
      <c r="I229" s="77"/>
      <c r="J229" s="77"/>
      <c r="K229" s="77"/>
      <c r="L229" s="77"/>
    </row>
    <row r="230" spans="2:12" ht="10.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</row>
    <row r="231" spans="1:12" ht="10.5">
      <c r="A231" s="23"/>
      <c r="B231" s="75" t="s">
        <v>128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</row>
    <row r="232" spans="2:12" ht="10.5">
      <c r="B232" s="69"/>
      <c r="C232" s="77" t="s">
        <v>323</v>
      </c>
      <c r="D232" s="77"/>
      <c r="E232" s="77"/>
      <c r="F232" s="77"/>
      <c r="G232" s="77"/>
      <c r="H232" s="77"/>
      <c r="I232" s="77"/>
      <c r="J232" s="77"/>
      <c r="K232" s="77"/>
      <c r="L232" s="77"/>
    </row>
    <row r="233" spans="2:12" ht="10.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</row>
  </sheetData>
  <mergeCells count="128">
    <mergeCell ref="C228:L228"/>
    <mergeCell ref="C229:L229"/>
    <mergeCell ref="C231:L231"/>
    <mergeCell ref="C232:L232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I22:J22"/>
    <mergeCell ref="I23:J23"/>
    <mergeCell ref="A9:D9"/>
    <mergeCell ref="F9:I9"/>
    <mergeCell ref="A13:J13"/>
    <mergeCell ref="A15:J15"/>
    <mergeCell ref="A14:J14"/>
    <mergeCell ref="C27:C28"/>
    <mergeCell ref="G27:G28"/>
    <mergeCell ref="A20:J20"/>
    <mergeCell ref="A22:A24"/>
    <mergeCell ref="B22:B24"/>
    <mergeCell ref="C22:C24"/>
    <mergeCell ref="D22:E22"/>
    <mergeCell ref="F23:F24"/>
    <mergeCell ref="G23:G24"/>
    <mergeCell ref="F22:H22"/>
    <mergeCell ref="N27:N28"/>
    <mergeCell ref="F27:F28"/>
    <mergeCell ref="A36:A37"/>
    <mergeCell ref="B36:B37"/>
    <mergeCell ref="C36:C37"/>
    <mergeCell ref="G36:G37"/>
    <mergeCell ref="N36:N37"/>
    <mergeCell ref="F36:F37"/>
    <mergeCell ref="A27:A28"/>
    <mergeCell ref="B27:B28"/>
    <mergeCell ref="A45:A46"/>
    <mergeCell ref="B45:B46"/>
    <mergeCell ref="C45:C46"/>
    <mergeCell ref="G45:G46"/>
    <mergeCell ref="A54:A55"/>
    <mergeCell ref="B54:B55"/>
    <mergeCell ref="C54:C55"/>
    <mergeCell ref="G54:G55"/>
    <mergeCell ref="F54:F55"/>
    <mergeCell ref="B63:B64"/>
    <mergeCell ref="C63:C64"/>
    <mergeCell ref="G63:G64"/>
    <mergeCell ref="N45:N46"/>
    <mergeCell ref="F45:F46"/>
    <mergeCell ref="N54:N55"/>
    <mergeCell ref="N63:N64"/>
    <mergeCell ref="F63:F64"/>
    <mergeCell ref="B65:J65"/>
    <mergeCell ref="A73:A74"/>
    <mergeCell ref="B73:B74"/>
    <mergeCell ref="C73:C74"/>
    <mergeCell ref="G73:G74"/>
    <mergeCell ref="N73:N74"/>
    <mergeCell ref="F73:F74"/>
    <mergeCell ref="A63:A64"/>
    <mergeCell ref="B75:J75"/>
    <mergeCell ref="A83:A84"/>
    <mergeCell ref="B83:B84"/>
    <mergeCell ref="C83:C84"/>
    <mergeCell ref="G83:G84"/>
    <mergeCell ref="A93:A94"/>
    <mergeCell ref="B93:B94"/>
    <mergeCell ref="C93:C94"/>
    <mergeCell ref="G93:G94"/>
    <mergeCell ref="F93:F94"/>
    <mergeCell ref="C102:C103"/>
    <mergeCell ref="G102:G103"/>
    <mergeCell ref="N83:N84"/>
    <mergeCell ref="F83:F84"/>
    <mergeCell ref="B85:J85"/>
    <mergeCell ref="N93:N94"/>
    <mergeCell ref="N102:N103"/>
    <mergeCell ref="F102:F103"/>
    <mergeCell ref="A111:A112"/>
    <mergeCell ref="B111:B112"/>
    <mergeCell ref="C111:C112"/>
    <mergeCell ref="G111:G112"/>
    <mergeCell ref="N111:N112"/>
    <mergeCell ref="F111:F112"/>
    <mergeCell ref="A102:A103"/>
    <mergeCell ref="B102:B103"/>
    <mergeCell ref="A122:A123"/>
    <mergeCell ref="B122:B123"/>
    <mergeCell ref="C122:C123"/>
    <mergeCell ref="G122:G123"/>
    <mergeCell ref="A131:A132"/>
    <mergeCell ref="B131:B132"/>
    <mergeCell ref="C131:C132"/>
    <mergeCell ref="G131:G132"/>
    <mergeCell ref="F131:F132"/>
    <mergeCell ref="F141:F142"/>
    <mergeCell ref="G141:G142"/>
    <mergeCell ref="N122:N123"/>
    <mergeCell ref="F122:F123"/>
    <mergeCell ref="N131:N132"/>
    <mergeCell ref="E163:E164"/>
    <mergeCell ref="F163:F164"/>
    <mergeCell ref="G163:G164"/>
    <mergeCell ref="N163:N164"/>
    <mergeCell ref="I163:I164"/>
    <mergeCell ref="E171:E172"/>
    <mergeCell ref="F171:F172"/>
    <mergeCell ref="G171:G172"/>
    <mergeCell ref="N171:N172"/>
    <mergeCell ref="I171:I172"/>
    <mergeCell ref="R171:R172"/>
    <mergeCell ref="H17:I17"/>
    <mergeCell ref="H18:I18"/>
    <mergeCell ref="H19:I19"/>
    <mergeCell ref="N141:N142"/>
    <mergeCell ref="I141:I142"/>
    <mergeCell ref="R141:R142"/>
    <mergeCell ref="R163:R164"/>
    <mergeCell ref="B133:J133"/>
    <mergeCell ref="E141:E142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7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129</v>
      </c>
      <c r="C1" s="29" t="s">
        <v>130</v>
      </c>
      <c r="D1" s="29" t="s">
        <v>131</v>
      </c>
      <c r="E1" s="29" t="s">
        <v>132</v>
      </c>
      <c r="F1" s="29" t="s">
        <v>133</v>
      </c>
      <c r="G1" s="29" t="s">
        <v>134</v>
      </c>
      <c r="H1" s="29" t="s">
        <v>135</v>
      </c>
      <c r="I1" s="29" t="s">
        <v>136</v>
      </c>
      <c r="J1" s="29" t="s">
        <v>137</v>
      </c>
      <c r="K1" s="29" t="s">
        <v>138</v>
      </c>
      <c r="L1" s="29" t="s">
        <v>139</v>
      </c>
      <c r="M1" s="29" t="s">
        <v>140</v>
      </c>
      <c r="N1" s="29" t="s">
        <v>141</v>
      </c>
      <c r="O1" s="29" t="s">
        <v>142</v>
      </c>
      <c r="P1" s="29" t="s">
        <v>143</v>
      </c>
      <c r="Q1" s="29" t="s">
        <v>144</v>
      </c>
      <c r="R1" s="29" t="s">
        <v>145</v>
      </c>
      <c r="S1" s="29" t="s">
        <v>146</v>
      </c>
      <c r="T1" s="29" t="s">
        <v>147</v>
      </c>
      <c r="U1" s="29" t="s">
        <v>148</v>
      </c>
      <c r="V1" s="29" t="s">
        <v>149</v>
      </c>
      <c r="W1" s="29"/>
      <c r="X1" s="29" t="s">
        <v>150</v>
      </c>
      <c r="Y1" s="29" t="s">
        <v>151</v>
      </c>
      <c r="Z1" s="29" t="s">
        <v>152</v>
      </c>
      <c r="AA1" s="29" t="s">
        <v>153</v>
      </c>
      <c r="AB1" s="29" t="s">
        <v>154</v>
      </c>
      <c r="AC1" s="29" t="s">
        <v>155</v>
      </c>
      <c r="AD1" s="29" t="s">
        <v>156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1"/>
      <c r="B3" s="62" t="s">
        <v>157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1"/>
      <c r="B4" s="62" t="s">
        <v>158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30" ht="10.5">
      <c r="A6" s="24" t="str">
        <f>'Форма 4'!A27</f>
        <v>1.</v>
      </c>
      <c r="B6" s="24">
        <f aca="true" t="shared" si="0" ref="B6:B17">ROUND(C6+D6+F6,2)</f>
        <v>712.66</v>
      </c>
      <c r="C6" s="24">
        <f>'Форма 4'!D28</f>
        <v>674.86</v>
      </c>
      <c r="D6" s="24">
        <f>'Форма 4'!E27</f>
        <v>0.96</v>
      </c>
      <c r="E6" s="24">
        <f>'Форма 4'!E28</f>
        <v>0</v>
      </c>
      <c r="F6" s="24">
        <v>36.84</v>
      </c>
      <c r="G6" s="24">
        <v>0</v>
      </c>
      <c r="H6" s="24">
        <v>0</v>
      </c>
      <c r="I6" s="25">
        <f>'Форма 4'!I27</f>
        <v>52.27388</v>
      </c>
      <c r="J6" s="25">
        <v>0</v>
      </c>
      <c r="K6" s="25">
        <f>'Форма 4'!I28</f>
        <v>0</v>
      </c>
      <c r="L6" s="24">
        <v>0</v>
      </c>
      <c r="M6" s="24">
        <v>0</v>
      </c>
      <c r="N6" s="24">
        <v>580.38</v>
      </c>
      <c r="O6" s="24">
        <v>472.4</v>
      </c>
      <c r="P6" s="24">
        <v>580.38</v>
      </c>
      <c r="Q6" s="24">
        <v>0</v>
      </c>
      <c r="R6" s="24">
        <v>472.4</v>
      </c>
      <c r="S6" s="24">
        <v>0</v>
      </c>
      <c r="T6" s="24">
        <v>0</v>
      </c>
      <c r="U6" s="24">
        <v>0</v>
      </c>
      <c r="V6" s="24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</row>
    <row r="7" spans="1:30" ht="10.5">
      <c r="A7" s="24" t="str">
        <f>'Форма 4'!A36</f>
        <v>2.</v>
      </c>
      <c r="B7" s="24">
        <f t="shared" si="0"/>
        <v>859.42</v>
      </c>
      <c r="C7" s="24">
        <f>'Форма 4'!D37</f>
        <v>534.92</v>
      </c>
      <c r="D7" s="24">
        <f>'Форма 4'!E36</f>
        <v>21.72</v>
      </c>
      <c r="E7" s="24">
        <f>'Форма 4'!E37</f>
        <v>3.89</v>
      </c>
      <c r="F7" s="24">
        <v>302.78</v>
      </c>
      <c r="G7" s="24">
        <v>0</v>
      </c>
      <c r="H7" s="24">
        <v>0</v>
      </c>
      <c r="I7" s="25">
        <f>'Форма 4'!I36</f>
        <v>47.7608</v>
      </c>
      <c r="J7" s="25">
        <v>0</v>
      </c>
      <c r="K7" s="25">
        <f>'Форма 4'!I37</f>
        <v>0.32</v>
      </c>
      <c r="L7" s="24">
        <v>0</v>
      </c>
      <c r="M7" s="24">
        <v>0</v>
      </c>
      <c r="N7" s="24">
        <v>447.21</v>
      </c>
      <c r="O7" s="24">
        <v>350.23</v>
      </c>
      <c r="P7" s="24">
        <v>443.98</v>
      </c>
      <c r="Q7" s="24">
        <v>3.23</v>
      </c>
      <c r="R7" s="24">
        <v>347.7</v>
      </c>
      <c r="S7" s="24">
        <v>2.53</v>
      </c>
      <c r="T7" s="24">
        <v>0</v>
      </c>
      <c r="U7" s="24">
        <v>0</v>
      </c>
      <c r="V7" s="24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</row>
    <row r="8" spans="1:30" ht="10.5">
      <c r="A8" s="24" t="str">
        <f>'Форма 4'!A45</f>
        <v>3.</v>
      </c>
      <c r="B8" s="24">
        <f t="shared" si="0"/>
        <v>1637.19</v>
      </c>
      <c r="C8" s="24">
        <f>'Форма 4'!D46</f>
        <v>887.21</v>
      </c>
      <c r="D8" s="24">
        <f>'Форма 4'!E45</f>
        <v>46.01</v>
      </c>
      <c r="E8" s="24">
        <f>'Форма 4'!E46</f>
        <v>8.28</v>
      </c>
      <c r="F8" s="24">
        <v>703.97</v>
      </c>
      <c r="G8" s="24">
        <v>0</v>
      </c>
      <c r="H8" s="24">
        <v>0</v>
      </c>
      <c r="I8" s="25">
        <f>'Форма 4'!I45</f>
        <v>79.2156</v>
      </c>
      <c r="J8" s="25">
        <v>0</v>
      </c>
      <c r="K8" s="25">
        <f>'Форма 4'!I46</f>
        <v>0.68</v>
      </c>
      <c r="L8" s="24">
        <v>0</v>
      </c>
      <c r="M8" s="24">
        <v>0</v>
      </c>
      <c r="N8" s="24">
        <v>743.26</v>
      </c>
      <c r="O8" s="24">
        <v>582.07</v>
      </c>
      <c r="P8" s="24">
        <v>736.38</v>
      </c>
      <c r="Q8" s="24">
        <v>6.88</v>
      </c>
      <c r="R8" s="24">
        <v>576.69</v>
      </c>
      <c r="S8" s="24">
        <v>5.38</v>
      </c>
      <c r="T8" s="24">
        <v>0</v>
      </c>
      <c r="U8" s="24">
        <v>0</v>
      </c>
      <c r="V8" s="24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</row>
    <row r="9" spans="1:30" ht="10.5">
      <c r="A9" s="24" t="str">
        <f>'Форма 4'!A54</f>
        <v>4.</v>
      </c>
      <c r="B9" s="24">
        <f t="shared" si="0"/>
        <v>3131.42</v>
      </c>
      <c r="C9" s="24">
        <f>'Форма 4'!D55</f>
        <v>1530.53</v>
      </c>
      <c r="D9" s="24">
        <f>'Форма 4'!E54</f>
        <v>93.44</v>
      </c>
      <c r="E9" s="24">
        <f>'Форма 4'!E55</f>
        <v>16.79</v>
      </c>
      <c r="F9" s="24">
        <v>1507.45</v>
      </c>
      <c r="G9" s="24">
        <v>0</v>
      </c>
      <c r="H9" s="24">
        <v>0</v>
      </c>
      <c r="I9" s="25">
        <f>'Форма 4'!I54</f>
        <v>136.6548</v>
      </c>
      <c r="J9" s="25">
        <v>0</v>
      </c>
      <c r="K9" s="25">
        <f>'Форма 4'!I55</f>
        <v>1.38</v>
      </c>
      <c r="L9" s="24">
        <v>0</v>
      </c>
      <c r="M9" s="24">
        <v>0</v>
      </c>
      <c r="N9" s="24">
        <v>1284.28</v>
      </c>
      <c r="O9" s="24">
        <v>1005.76</v>
      </c>
      <c r="P9" s="24">
        <v>1270.34</v>
      </c>
      <c r="Q9" s="24">
        <v>13.94</v>
      </c>
      <c r="R9" s="24">
        <v>994.84</v>
      </c>
      <c r="S9" s="24">
        <v>10.92</v>
      </c>
      <c r="T9" s="24">
        <v>0</v>
      </c>
      <c r="U9" s="24">
        <v>0</v>
      </c>
      <c r="V9" s="24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</row>
    <row r="10" spans="1:30" ht="10.5">
      <c r="A10" s="24" t="str">
        <f>'Форма 4'!A63</f>
        <v>5.</v>
      </c>
      <c r="B10" s="24">
        <f t="shared" si="0"/>
        <v>24097.49</v>
      </c>
      <c r="C10" s="24">
        <f>'Форма 4'!D64</f>
        <v>679.7</v>
      </c>
      <c r="D10" s="24">
        <f>'Форма 4'!E63</f>
        <v>78.89</v>
      </c>
      <c r="E10" s="24">
        <f>'Форма 4'!E64</f>
        <v>13.7</v>
      </c>
      <c r="F10" s="24">
        <v>23338.9</v>
      </c>
      <c r="G10" s="24">
        <v>0</v>
      </c>
      <c r="H10" s="24">
        <v>0</v>
      </c>
      <c r="I10" s="25">
        <f>'Форма 4'!I63</f>
        <v>60.157612</v>
      </c>
      <c r="J10" s="25">
        <v>0</v>
      </c>
      <c r="K10" s="25">
        <f>'Форма 4'!I64</f>
        <v>1.1875</v>
      </c>
      <c r="L10" s="24">
        <v>0</v>
      </c>
      <c r="M10" s="24">
        <v>0</v>
      </c>
      <c r="N10" s="24">
        <v>748.87</v>
      </c>
      <c r="O10" s="24">
        <v>381.37</v>
      </c>
      <c r="P10" s="24">
        <v>734.08</v>
      </c>
      <c r="Q10" s="24">
        <v>14.79</v>
      </c>
      <c r="R10" s="24">
        <v>373.84</v>
      </c>
      <c r="S10" s="24">
        <v>7.53</v>
      </c>
      <c r="T10" s="24">
        <v>0</v>
      </c>
      <c r="U10" s="24">
        <v>0</v>
      </c>
      <c r="V10" s="24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</row>
    <row r="11" spans="1:30" ht="10.5">
      <c r="A11" s="24" t="str">
        <f>'Форма 4'!A73</f>
        <v>6.</v>
      </c>
      <c r="B11" s="24">
        <f t="shared" si="0"/>
        <v>1392.75</v>
      </c>
      <c r="C11" s="24">
        <f>'Форма 4'!D74</f>
        <v>1167.09</v>
      </c>
      <c r="D11" s="24">
        <f>'Форма 4'!E73</f>
        <v>184.2</v>
      </c>
      <c r="E11" s="24">
        <f>'Форма 4'!E74</f>
        <v>10</v>
      </c>
      <c r="F11" s="24">
        <v>41.46</v>
      </c>
      <c r="G11" s="24">
        <v>0</v>
      </c>
      <c r="H11" s="24">
        <v>0</v>
      </c>
      <c r="I11" s="25">
        <f>'Форма 4'!I73</f>
        <v>108.265</v>
      </c>
      <c r="J11" s="25">
        <v>0</v>
      </c>
      <c r="K11" s="25">
        <f>'Форма 4'!I74</f>
        <v>0.6125</v>
      </c>
      <c r="L11" s="24">
        <v>0</v>
      </c>
      <c r="M11" s="24">
        <v>0</v>
      </c>
      <c r="N11" s="24">
        <v>953.44</v>
      </c>
      <c r="O11" s="24">
        <v>847.5</v>
      </c>
      <c r="P11" s="24">
        <v>945.34</v>
      </c>
      <c r="Q11" s="24">
        <v>8.1</v>
      </c>
      <c r="R11" s="24">
        <v>840.3</v>
      </c>
      <c r="S11" s="24">
        <v>7.2</v>
      </c>
      <c r="T11" s="24">
        <v>0</v>
      </c>
      <c r="U11" s="24">
        <v>0</v>
      </c>
      <c r="V11" s="24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</row>
    <row r="12" spans="1:30" ht="10.5">
      <c r="A12" s="24" t="str">
        <f>'Форма 4'!A83</f>
        <v>7.</v>
      </c>
      <c r="B12" s="24">
        <f t="shared" si="0"/>
        <v>787.65</v>
      </c>
      <c r="C12" s="24">
        <f>'Форма 4'!D84</f>
        <v>165.44</v>
      </c>
      <c r="D12" s="24">
        <f>'Форма 4'!E83</f>
        <v>3.89</v>
      </c>
      <c r="E12" s="24">
        <f>'Форма 4'!E84</f>
        <v>0.14</v>
      </c>
      <c r="F12" s="24">
        <v>618.32</v>
      </c>
      <c r="G12" s="24">
        <v>0</v>
      </c>
      <c r="H12" s="24">
        <v>0</v>
      </c>
      <c r="I12" s="25">
        <f>'Форма 4'!I83</f>
        <v>14.771658</v>
      </c>
      <c r="J12" s="25">
        <v>0</v>
      </c>
      <c r="K12" s="25">
        <f>'Форма 4'!I84</f>
        <v>0.0125</v>
      </c>
      <c r="L12" s="24">
        <v>0</v>
      </c>
      <c r="M12" s="24">
        <v>0</v>
      </c>
      <c r="N12" s="24">
        <v>157.3</v>
      </c>
      <c r="O12" s="24">
        <v>77.82</v>
      </c>
      <c r="P12" s="24">
        <v>157.17</v>
      </c>
      <c r="Q12" s="24">
        <v>0.13</v>
      </c>
      <c r="R12" s="24">
        <v>77.76</v>
      </c>
      <c r="S12" s="24">
        <v>0.06</v>
      </c>
      <c r="T12" s="24">
        <v>0</v>
      </c>
      <c r="U12" s="24">
        <v>0</v>
      </c>
      <c r="V12" s="24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</row>
    <row r="13" spans="1:30" ht="10.5">
      <c r="A13" s="24" t="str">
        <f>'Форма 4'!A93</f>
        <v>8.</v>
      </c>
      <c r="B13" s="24">
        <f t="shared" si="0"/>
        <v>14670</v>
      </c>
      <c r="C13" s="24">
        <f>'Форма 4'!D94</f>
        <v>0</v>
      </c>
      <c r="D13" s="24">
        <f>'Форма 4'!E93</f>
        <v>0</v>
      </c>
      <c r="E13" s="24">
        <f>'Форма 4'!E94</f>
        <v>0</v>
      </c>
      <c r="F13" s="24">
        <v>14670</v>
      </c>
      <c r="G13" s="24">
        <v>14270</v>
      </c>
      <c r="H13" s="24">
        <v>0</v>
      </c>
      <c r="I13" s="25">
        <f>'Форма 4'!I93</f>
        <v>0</v>
      </c>
      <c r="J13" s="25">
        <v>0</v>
      </c>
      <c r="K13" s="25">
        <f>'Форма 4'!I94</f>
        <v>0</v>
      </c>
      <c r="L13" s="24">
        <v>7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</row>
    <row r="14" spans="1:30" ht="10.5">
      <c r="A14" s="24" t="str">
        <f>'Форма 4'!A102</f>
        <v>9.</v>
      </c>
      <c r="B14" s="24">
        <f t="shared" si="0"/>
        <v>8</v>
      </c>
      <c r="C14" s="24">
        <f>'Форма 4'!D103</f>
        <v>0</v>
      </c>
      <c r="D14" s="24">
        <f>'Форма 4'!E102</f>
        <v>8</v>
      </c>
      <c r="E14" s="24">
        <f>'Форма 4'!E103</f>
        <v>0</v>
      </c>
      <c r="F14" s="24">
        <v>0</v>
      </c>
      <c r="G14" s="24">
        <v>0</v>
      </c>
      <c r="H14" s="24">
        <v>0</v>
      </c>
      <c r="I14" s="25">
        <f>'Форма 4'!I102</f>
        <v>0</v>
      </c>
      <c r="J14" s="25">
        <v>0</v>
      </c>
      <c r="K14" s="25">
        <f>'Форма 4'!I103</f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</row>
    <row r="15" spans="1:30" ht="10.5">
      <c r="A15" s="24" t="str">
        <f>'Форма 4'!A111</f>
        <v>10.</v>
      </c>
      <c r="B15" s="24">
        <f t="shared" si="0"/>
        <v>17.99</v>
      </c>
      <c r="C15" s="24">
        <f>'Форма 4'!D112</f>
        <v>0</v>
      </c>
      <c r="D15" s="24">
        <f>'Форма 4'!E111</f>
        <v>0</v>
      </c>
      <c r="E15" s="24">
        <f>'Форма 4'!E112</f>
        <v>0</v>
      </c>
      <c r="F15" s="24">
        <v>17.99</v>
      </c>
      <c r="G15" s="24">
        <v>0</v>
      </c>
      <c r="H15" s="24">
        <v>0</v>
      </c>
      <c r="I15" s="25">
        <f>'Форма 4'!I111</f>
        <v>0</v>
      </c>
      <c r="J15" s="25">
        <v>0</v>
      </c>
      <c r="K15" s="25">
        <f>'Форма 4'!I112</f>
        <v>0</v>
      </c>
      <c r="L15" s="24">
        <v>7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</row>
    <row r="16" spans="1:30" ht="10.5">
      <c r="A16" s="24" t="str">
        <f>'Форма 4'!A122</f>
        <v>11.</v>
      </c>
      <c r="B16" s="24">
        <f t="shared" si="0"/>
        <v>1637.19</v>
      </c>
      <c r="C16" s="24">
        <f>'Форма 4'!D123</f>
        <v>887.21</v>
      </c>
      <c r="D16" s="24">
        <f>'Форма 4'!E122</f>
        <v>46.01</v>
      </c>
      <c r="E16" s="24">
        <f>'Форма 4'!E123</f>
        <v>8.28</v>
      </c>
      <c r="F16" s="24">
        <v>703.97</v>
      </c>
      <c r="G16" s="24">
        <v>0</v>
      </c>
      <c r="H16" s="24">
        <v>0</v>
      </c>
      <c r="I16" s="25">
        <f>'Форма 4'!I122</f>
        <v>79.2156</v>
      </c>
      <c r="J16" s="25">
        <v>0</v>
      </c>
      <c r="K16" s="25">
        <f>'Форма 4'!I123</f>
        <v>0.68</v>
      </c>
      <c r="L16" s="24">
        <v>0</v>
      </c>
      <c r="M16" s="24">
        <v>0</v>
      </c>
      <c r="N16" s="24">
        <v>743.26</v>
      </c>
      <c r="O16" s="24">
        <v>582.07</v>
      </c>
      <c r="P16" s="24">
        <v>736.38</v>
      </c>
      <c r="Q16" s="24">
        <v>6.88</v>
      </c>
      <c r="R16" s="24">
        <v>576.69</v>
      </c>
      <c r="S16" s="24">
        <v>5.38</v>
      </c>
      <c r="T16" s="24">
        <v>0</v>
      </c>
      <c r="U16" s="24">
        <v>0</v>
      </c>
      <c r="V16" s="24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</row>
    <row r="17" spans="1:30" ht="10.5">
      <c r="A17" s="24" t="str">
        <f>'Форма 4'!A131</f>
        <v>12.</v>
      </c>
      <c r="B17" s="24">
        <f t="shared" si="0"/>
        <v>24097.49</v>
      </c>
      <c r="C17" s="24">
        <f>'Форма 4'!D132</f>
        <v>679.7</v>
      </c>
      <c r="D17" s="24">
        <f>'Форма 4'!E131</f>
        <v>78.89</v>
      </c>
      <c r="E17" s="24">
        <f>'Форма 4'!E132</f>
        <v>13.7</v>
      </c>
      <c r="F17" s="24">
        <v>23338.9</v>
      </c>
      <c r="G17" s="24">
        <v>0</v>
      </c>
      <c r="H17" s="24">
        <v>0</v>
      </c>
      <c r="I17" s="25">
        <f>'Форма 4'!I131</f>
        <v>60.157612</v>
      </c>
      <c r="J17" s="25">
        <v>0</v>
      </c>
      <c r="K17" s="25">
        <f>'Форма 4'!I132</f>
        <v>1.1875</v>
      </c>
      <c r="L17" s="24">
        <v>0</v>
      </c>
      <c r="M17" s="24">
        <v>0</v>
      </c>
      <c r="N17" s="24">
        <v>748.87</v>
      </c>
      <c r="O17" s="24">
        <v>381.37</v>
      </c>
      <c r="P17" s="24">
        <v>734.08</v>
      </c>
      <c r="Q17" s="24">
        <v>14.79</v>
      </c>
      <c r="R17" s="24">
        <v>373.84</v>
      </c>
      <c r="S17" s="24">
        <v>7.53</v>
      </c>
      <c r="T17" s="24">
        <v>0</v>
      </c>
      <c r="U17" s="24">
        <v>0</v>
      </c>
      <c r="V17" s="24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7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129</v>
      </c>
      <c r="C1" s="29" t="s">
        <v>130</v>
      </c>
      <c r="D1" s="29" t="s">
        <v>131</v>
      </c>
      <c r="E1" s="29" t="s">
        <v>132</v>
      </c>
      <c r="F1" s="29" t="s">
        <v>133</v>
      </c>
      <c r="G1" s="29" t="s">
        <v>134</v>
      </c>
      <c r="H1" s="29" t="s">
        <v>135</v>
      </c>
      <c r="I1" s="29" t="s">
        <v>136</v>
      </c>
      <c r="J1" s="29" t="s">
        <v>137</v>
      </c>
      <c r="K1" s="29" t="s">
        <v>138</v>
      </c>
      <c r="L1" s="29" t="s">
        <v>139</v>
      </c>
      <c r="M1" s="29" t="s">
        <v>140</v>
      </c>
      <c r="N1" s="29" t="s">
        <v>141</v>
      </c>
      <c r="O1" s="29" t="s">
        <v>142</v>
      </c>
      <c r="P1" s="29" t="s">
        <v>143</v>
      </c>
      <c r="Q1" s="29" t="s">
        <v>144</v>
      </c>
      <c r="R1" s="29" t="s">
        <v>145</v>
      </c>
      <c r="S1" s="29" t="s">
        <v>146</v>
      </c>
      <c r="T1" s="29" t="s">
        <v>147</v>
      </c>
      <c r="U1" s="29" t="s">
        <v>148</v>
      </c>
      <c r="V1" s="29" t="s">
        <v>149</v>
      </c>
      <c r="W1" s="29"/>
      <c r="X1" s="29" t="s">
        <v>150</v>
      </c>
      <c r="Y1" s="29" t="s">
        <v>151</v>
      </c>
      <c r="Z1" s="29" t="s">
        <v>152</v>
      </c>
      <c r="AA1" s="29" t="s">
        <v>153</v>
      </c>
      <c r="AB1" s="29" t="s">
        <v>154</v>
      </c>
      <c r="AC1" s="29" t="s">
        <v>155</v>
      </c>
      <c r="AD1" s="29" t="s">
        <v>156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1"/>
      <c r="B3" s="62" t="s">
        <v>157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1"/>
      <c r="B4" s="62" t="s">
        <v>158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30" ht="10.5">
      <c r="A6" s="24" t="str">
        <f>'Форма 4'!A27</f>
        <v>1.</v>
      </c>
      <c r="B6" s="24">
        <f aca="true" t="shared" si="0" ref="B6:B17">ROUND(C6+D6+F6,2)</f>
        <v>3249.73</v>
      </c>
      <c r="C6" s="24">
        <f>ROUND('Форма 4'!C27*'Базовые цены за единицу'!C6,2)</f>
        <v>3077.36</v>
      </c>
      <c r="D6" s="24">
        <f>ROUND('Форма 4'!C27*'Базовые цены за единицу'!D6,2)</f>
        <v>4.38</v>
      </c>
      <c r="E6" s="24">
        <f>ROUND('Форма 4'!C27*'Базовые цены за единицу'!E6,2)</f>
        <v>0</v>
      </c>
      <c r="F6" s="24">
        <f>ROUND('Форма 4'!C27*'Базовые цены за единицу'!F6,2)</f>
        <v>167.99</v>
      </c>
      <c r="G6" s="24">
        <f>ROUND('Форма 4'!C27*'Базовые цены за единицу'!G6,2)</f>
        <v>0</v>
      </c>
      <c r="H6" s="24">
        <f>ROUND('Форма 4'!C27*'Базовые цены за единицу'!H6,2)</f>
        <v>0</v>
      </c>
      <c r="I6" s="25">
        <f>ОКРУГЛВСЕ('Форма 4'!C27*'Базовые цены за единицу'!I6,8)</f>
        <v>238.36889</v>
      </c>
      <c r="J6" s="25">
        <f>ОКРУГЛВСЕ('Форма 4'!C27*'Базовые цены за единицу'!J6,8)</f>
        <v>0</v>
      </c>
      <c r="K6" s="25">
        <f>ОКРУГЛВСЕ('Форма 4'!C27*'Базовые цены за единицу'!K6,8)</f>
        <v>0</v>
      </c>
      <c r="L6" s="24">
        <f>ROUND('Форма 4'!C27*'Базовые цены за единицу'!L6,2)</f>
        <v>0</v>
      </c>
      <c r="M6" s="24">
        <f>ROUND('Форма 4'!C27*'Базовые цены за единицу'!M6,2)</f>
        <v>0</v>
      </c>
      <c r="N6" s="24">
        <f>ROUND((C6+E6)*'Форма 4'!C29/100,2)</f>
        <v>2646.53</v>
      </c>
      <c r="O6" s="24">
        <f>ROUND((C6+E6)*'Форма 4'!C32/100,2)</f>
        <v>2154.15</v>
      </c>
      <c r="P6" s="24">
        <f>ROUND('Форма 4'!C27*'Базовые цены за единицу'!P6,2)</f>
        <v>2646.53</v>
      </c>
      <c r="Q6" s="24">
        <f>ROUND('Форма 4'!C27*'Базовые цены за единицу'!Q6,2)</f>
        <v>0</v>
      </c>
      <c r="R6" s="24">
        <f>ROUND('Форма 4'!C27*'Базовые цены за единицу'!R6,2)</f>
        <v>2154.14</v>
      </c>
      <c r="S6" s="24">
        <f>ROUND('Форма 4'!C27*'Базовые цены за единицу'!S6,2)</f>
        <v>0</v>
      </c>
      <c r="T6" s="24">
        <f>ROUND('Форма 4'!C27*'Базовые цены за единицу'!T6,2)</f>
        <v>0</v>
      </c>
      <c r="U6" s="24">
        <f>ROUND('Форма 4'!C27*'Базовые цены за единицу'!U6,2)</f>
        <v>0</v>
      </c>
      <c r="V6" s="24">
        <f>ROUND('Форма 4'!C27*'Базовые цены за единицу'!V6,2)</f>
        <v>0</v>
      </c>
      <c r="X6" s="26">
        <f>ROUND('Форма 4'!C27*'Базовые цены за единицу'!X6,2)</f>
        <v>0</v>
      </c>
      <c r="Y6" s="26">
        <f>IF(Определители!I6="9",ROUND((C6+E6)*(Начисления!M6/100)*('Форма 4'!C29/100),2),0)</f>
        <v>0</v>
      </c>
      <c r="Z6" s="26">
        <f>IF(Определители!I6="9",ROUND((C6+E6)*(100-Начисления!M6/100)*('Форма 4'!C29/100),2),0)</f>
        <v>0</v>
      </c>
      <c r="AA6" s="26">
        <f>IF(Определители!I6="9",ROUND((C6+E6)*(Начисления!M6/100)*('Форма 4'!C32/100),2),0)</f>
        <v>0</v>
      </c>
      <c r="AB6" s="26">
        <f>IF(Определители!I6="9",ROUND((C6+E6)*(100-Начисления!M6/100)*('Форма 4'!C32/100),2),0)</f>
        <v>0</v>
      </c>
      <c r="AC6" s="26">
        <f>IF(Определители!I6="9",ROUND(B6*Начисления!M6/100,2),0)</f>
        <v>0</v>
      </c>
      <c r="AD6" s="26">
        <f>IF(Определители!I6="9",ROUND(B6*(100-Начисления!M6)/100,2),0)</f>
        <v>0</v>
      </c>
    </row>
    <row r="7" spans="1:30" ht="10.5">
      <c r="A7" s="24" t="str">
        <f>'Форма 4'!A36</f>
        <v>2.</v>
      </c>
      <c r="B7" s="24">
        <f t="shared" si="0"/>
        <v>214.86</v>
      </c>
      <c r="C7" s="24">
        <f>ROUND('Форма 4'!C36*'Базовые цены за единицу'!C7,2)</f>
        <v>133.73</v>
      </c>
      <c r="D7" s="24">
        <f>ROUND('Форма 4'!C36*'Базовые цены за единицу'!D7,2)</f>
        <v>5.43</v>
      </c>
      <c r="E7" s="24">
        <f>ROUND('Форма 4'!C36*'Базовые цены за единицу'!E7,2)</f>
        <v>0.97</v>
      </c>
      <c r="F7" s="24">
        <f>ROUND('Форма 4'!C36*'Базовые цены за единицу'!F7,2)</f>
        <v>75.7</v>
      </c>
      <c r="G7" s="24">
        <f>ROUND('Форма 4'!C36*'Базовые цены за единицу'!G7,2)</f>
        <v>0</v>
      </c>
      <c r="H7" s="24">
        <f>ROUND('Форма 4'!C36*'Базовые цены за единицу'!H7,2)</f>
        <v>0</v>
      </c>
      <c r="I7" s="25">
        <f>ОКРУГЛВСЕ('Форма 4'!C36*'Базовые цены за единицу'!I7,8)</f>
        <v>11.9402</v>
      </c>
      <c r="J7" s="25">
        <f>ОКРУГЛВСЕ('Форма 4'!C36*'Базовые цены за единицу'!J7,8)</f>
        <v>0</v>
      </c>
      <c r="K7" s="25">
        <f>ОКРУГЛВСЕ('Форма 4'!C36*'Базовые цены за единицу'!K7,8)</f>
        <v>0.08</v>
      </c>
      <c r="L7" s="24">
        <f>ROUND('Форма 4'!C36*'Базовые цены за единицу'!L7,2)</f>
        <v>0</v>
      </c>
      <c r="M7" s="24">
        <f>ROUND('Форма 4'!C36*'Базовые цены за единицу'!M7,2)</f>
        <v>0</v>
      </c>
      <c r="N7" s="24">
        <f>ROUND((C7+E7)*'Форма 4'!C38/100,2)</f>
        <v>111.8</v>
      </c>
      <c r="O7" s="24">
        <f>ROUND((C7+E7)*'Форма 4'!C41/100,2)</f>
        <v>87.56</v>
      </c>
      <c r="P7" s="24">
        <f>ROUND('Форма 4'!C36*'Базовые цены за единицу'!P7,2)</f>
        <v>111</v>
      </c>
      <c r="Q7" s="24">
        <f>ROUND('Форма 4'!C36*'Базовые цены за единицу'!Q7,2)</f>
        <v>0.81</v>
      </c>
      <c r="R7" s="24">
        <f>ROUND('Форма 4'!C36*'Базовые цены за единицу'!R7,2)</f>
        <v>86.93</v>
      </c>
      <c r="S7" s="24">
        <f>ROUND('Форма 4'!C36*'Базовые цены за единицу'!S7,2)</f>
        <v>0.63</v>
      </c>
      <c r="T7" s="24">
        <f>ROUND('Форма 4'!C36*'Базовые цены за единицу'!T7,2)</f>
        <v>0</v>
      </c>
      <c r="U7" s="24">
        <f>ROUND('Форма 4'!C36*'Базовые цены за единицу'!U7,2)</f>
        <v>0</v>
      </c>
      <c r="V7" s="24">
        <f>ROUND('Форма 4'!C36*'Базовые цены за единицу'!V7,2)</f>
        <v>0</v>
      </c>
      <c r="X7" s="26">
        <f>ROUND('Форма 4'!C36*'Базовые цены за единицу'!X7,2)</f>
        <v>0</v>
      </c>
      <c r="Y7" s="26">
        <f>IF(Определители!I7="9",ROUND((C7+E7)*(Начисления!M7/100)*('Форма 4'!C38/100),2),0)</f>
        <v>0</v>
      </c>
      <c r="Z7" s="26">
        <f>IF(Определители!I7="9",ROUND((C7+E7)*(100-Начисления!M7/100)*('Форма 4'!C38/100),2),0)</f>
        <v>0</v>
      </c>
      <c r="AA7" s="26">
        <f>IF(Определители!I7="9",ROUND((C7+E7)*(Начисления!M7/100)*('Форма 4'!C41/100),2),0)</f>
        <v>0</v>
      </c>
      <c r="AB7" s="26">
        <f>IF(Определители!I7="9",ROUND((C7+E7)*(100-Начисления!M7/100)*('Форма 4'!C41/100),2),0)</f>
        <v>0</v>
      </c>
      <c r="AC7" s="26">
        <f>IF(Определители!I7="9",ROUND(B7*Начисления!M7/100,2),0)</f>
        <v>0</v>
      </c>
      <c r="AD7" s="26">
        <f>IF(Определители!I7="9",ROUND(B7*(100-Начисления!M7)/100,2),0)</f>
        <v>0</v>
      </c>
    </row>
    <row r="8" spans="1:30" ht="10.5">
      <c r="A8" s="24" t="str">
        <f>'Форма 4'!A45</f>
        <v>3.</v>
      </c>
      <c r="B8" s="24">
        <f t="shared" si="0"/>
        <v>245.58</v>
      </c>
      <c r="C8" s="24">
        <f>ROUND('Форма 4'!C45*'Базовые цены за единицу'!C8,2)</f>
        <v>133.08</v>
      </c>
      <c r="D8" s="24">
        <f>ROUND('Форма 4'!C45*'Базовые цены за единицу'!D8,2)</f>
        <v>6.9</v>
      </c>
      <c r="E8" s="24">
        <f>ROUND('Форма 4'!C45*'Базовые цены за единицу'!E8,2)</f>
        <v>1.24</v>
      </c>
      <c r="F8" s="24">
        <f>ROUND('Форма 4'!C45*'Базовые цены за единицу'!F8,2)</f>
        <v>105.6</v>
      </c>
      <c r="G8" s="24">
        <f>ROUND('Форма 4'!C45*'Базовые цены за единицу'!G8,2)</f>
        <v>0</v>
      </c>
      <c r="H8" s="24">
        <f>ROUND('Форма 4'!C45*'Базовые цены за единицу'!H8,2)</f>
        <v>0</v>
      </c>
      <c r="I8" s="25">
        <f>ОКРУГЛВСЕ('Форма 4'!C45*'Базовые цены за единицу'!I8,8)</f>
        <v>11.88234</v>
      </c>
      <c r="J8" s="25">
        <f>ОКРУГЛВСЕ('Форма 4'!C45*'Базовые цены за единицу'!J8,8)</f>
        <v>0</v>
      </c>
      <c r="K8" s="25">
        <f>ОКРУГЛВСЕ('Форма 4'!C45*'Базовые цены за единицу'!K8,8)</f>
        <v>0.102</v>
      </c>
      <c r="L8" s="24">
        <f>ROUND('Форма 4'!C45*'Базовые цены за единицу'!L8,2)</f>
        <v>0</v>
      </c>
      <c r="M8" s="24">
        <f>ROUND('Форма 4'!C45*'Базовые цены за единицу'!M8,2)</f>
        <v>0</v>
      </c>
      <c r="N8" s="24">
        <f>ROUND((C8+E8)*'Форма 4'!C47/100,2)</f>
        <v>111.49</v>
      </c>
      <c r="O8" s="24">
        <f>ROUND((C8+E8)*'Форма 4'!C50/100,2)</f>
        <v>87.31</v>
      </c>
      <c r="P8" s="24">
        <f>ROUND('Форма 4'!C45*'Базовые цены за единицу'!P8,2)</f>
        <v>110.46</v>
      </c>
      <c r="Q8" s="24">
        <f>ROUND('Форма 4'!C45*'Базовые цены за единицу'!Q8,2)</f>
        <v>1.03</v>
      </c>
      <c r="R8" s="24">
        <f>ROUND('Форма 4'!C45*'Базовые цены за единицу'!R8,2)</f>
        <v>86.5</v>
      </c>
      <c r="S8" s="24">
        <f>ROUND('Форма 4'!C45*'Базовые цены за единицу'!S8,2)</f>
        <v>0.81</v>
      </c>
      <c r="T8" s="24">
        <f>ROUND('Форма 4'!C45*'Базовые цены за единицу'!T8,2)</f>
        <v>0</v>
      </c>
      <c r="U8" s="24">
        <f>ROUND('Форма 4'!C45*'Базовые цены за единицу'!U8,2)</f>
        <v>0</v>
      </c>
      <c r="V8" s="24">
        <f>ROUND('Форма 4'!C45*'Базовые цены за единицу'!V8,2)</f>
        <v>0</v>
      </c>
      <c r="X8" s="26">
        <f>ROUND('Форма 4'!C45*'Базовые цены за единицу'!X8,2)</f>
        <v>0</v>
      </c>
      <c r="Y8" s="26">
        <f>IF(Определители!I8="9",ROUND((C8+E8)*(Начисления!M8/100)*('Форма 4'!C47/100),2),0)</f>
        <v>0</v>
      </c>
      <c r="Z8" s="26">
        <f>IF(Определители!I8="9",ROUND((C8+E8)*(100-Начисления!M8/100)*('Форма 4'!C47/100),2),0)</f>
        <v>0</v>
      </c>
      <c r="AA8" s="26">
        <f>IF(Определители!I8="9",ROUND((C8+E8)*(Начисления!M8/100)*('Форма 4'!C50/100),2),0)</f>
        <v>0</v>
      </c>
      <c r="AB8" s="26">
        <f>IF(Определители!I8="9",ROUND((C8+E8)*(100-Начисления!M8/100)*('Форма 4'!C50/100),2),0)</f>
        <v>0</v>
      </c>
      <c r="AC8" s="26">
        <f>IF(Определители!I8="9",ROUND(B8*Начисления!M8/100,2),0)</f>
        <v>0</v>
      </c>
      <c r="AD8" s="26">
        <f>IF(Определители!I8="9",ROUND(B8*(100-Начисления!M8)/100,2),0)</f>
        <v>0</v>
      </c>
    </row>
    <row r="9" spans="1:30" ht="10.5">
      <c r="A9" s="24" t="str">
        <f>'Форма 4'!A54</f>
        <v>4.</v>
      </c>
      <c r="B9" s="24">
        <f t="shared" si="0"/>
        <v>313.14</v>
      </c>
      <c r="C9" s="24">
        <f>ROUND('Форма 4'!C54*'Базовые цены за единицу'!C9,2)</f>
        <v>153.05</v>
      </c>
      <c r="D9" s="24">
        <f>ROUND('Форма 4'!C54*'Базовые цены за единицу'!D9,2)</f>
        <v>9.34</v>
      </c>
      <c r="E9" s="24">
        <f>ROUND('Форма 4'!C54*'Базовые цены за единицу'!E9,2)</f>
        <v>1.68</v>
      </c>
      <c r="F9" s="24">
        <f>ROUND('Форма 4'!C54*'Базовые цены за единицу'!F9,2)</f>
        <v>150.75</v>
      </c>
      <c r="G9" s="24">
        <f>ROUND('Форма 4'!C54*'Базовые цены за единицу'!G9,2)</f>
        <v>0</v>
      </c>
      <c r="H9" s="24">
        <f>ROUND('Форма 4'!C54*'Базовые цены за единицу'!H9,2)</f>
        <v>0</v>
      </c>
      <c r="I9" s="25">
        <f>ОКРУГЛВСЕ('Форма 4'!C54*'Базовые цены за единицу'!I9,8)</f>
        <v>13.66548</v>
      </c>
      <c r="J9" s="25">
        <f>ОКРУГЛВСЕ('Форма 4'!C54*'Базовые цены за единицу'!J9,8)</f>
        <v>0</v>
      </c>
      <c r="K9" s="25">
        <f>ОКРУГЛВСЕ('Форма 4'!C54*'Базовые цены за единицу'!K9,8)</f>
        <v>0.138</v>
      </c>
      <c r="L9" s="24">
        <f>ROUND('Форма 4'!C54*'Базовые цены за единицу'!L9,2)</f>
        <v>0</v>
      </c>
      <c r="M9" s="24">
        <f>ROUND('Форма 4'!C54*'Базовые цены за единицу'!M9,2)</f>
        <v>0</v>
      </c>
      <c r="N9" s="24">
        <f>ROUND((C9+E9)*'Форма 4'!C56/100,2)</f>
        <v>128.43</v>
      </c>
      <c r="O9" s="24">
        <f>ROUND((C9+E9)*'Форма 4'!C59/100,2)</f>
        <v>100.57</v>
      </c>
      <c r="P9" s="24">
        <f>ROUND('Форма 4'!C54*'Базовые цены за единицу'!P9,2)</f>
        <v>127.03</v>
      </c>
      <c r="Q9" s="24">
        <f>ROUND('Форма 4'!C54*'Базовые цены за единицу'!Q9,2)</f>
        <v>1.39</v>
      </c>
      <c r="R9" s="24">
        <f>ROUND('Форма 4'!C54*'Базовые цены за единицу'!R9,2)</f>
        <v>99.48</v>
      </c>
      <c r="S9" s="24">
        <f>ROUND('Форма 4'!C54*'Базовые цены за единицу'!S9,2)</f>
        <v>1.09</v>
      </c>
      <c r="T9" s="24">
        <f>ROUND('Форма 4'!C54*'Базовые цены за единицу'!T9,2)</f>
        <v>0</v>
      </c>
      <c r="U9" s="24">
        <f>ROUND('Форма 4'!C54*'Базовые цены за единицу'!U9,2)</f>
        <v>0</v>
      </c>
      <c r="V9" s="24">
        <f>ROUND('Форма 4'!C54*'Базовые цены за единицу'!V9,2)</f>
        <v>0</v>
      </c>
      <c r="X9" s="26">
        <f>ROUND('Форма 4'!C54*'Базовые цены за единицу'!X9,2)</f>
        <v>0</v>
      </c>
      <c r="Y9" s="26">
        <f>IF(Определители!I9="9",ROUND((C9+E9)*(Начисления!M9/100)*('Форма 4'!C56/100),2),0)</f>
        <v>0</v>
      </c>
      <c r="Z9" s="26">
        <f>IF(Определители!I9="9",ROUND((C9+E9)*(100-Начисления!M9/100)*('Форма 4'!C56/100),2),0)</f>
        <v>0</v>
      </c>
      <c r="AA9" s="26">
        <f>IF(Определители!I9="9",ROUND((C9+E9)*(Начисления!M9/100)*('Форма 4'!C59/100),2),0)</f>
        <v>0</v>
      </c>
      <c r="AB9" s="26">
        <f>IF(Определители!I9="9",ROUND((C9+E9)*(100-Начисления!M9/100)*('Форма 4'!C59/100),2),0)</f>
        <v>0</v>
      </c>
      <c r="AC9" s="26">
        <f>IF(Определители!I9="9",ROUND(B9*Начисления!M9/100,2),0)</f>
        <v>0</v>
      </c>
      <c r="AD9" s="26">
        <f>IF(Определители!I9="9",ROUND(B9*(100-Начисления!M9)/100,2),0)</f>
        <v>0</v>
      </c>
    </row>
    <row r="10" spans="1:30" ht="10.5">
      <c r="A10" s="24" t="str">
        <f>'Форма 4'!A63</f>
        <v>5.</v>
      </c>
      <c r="B10" s="24">
        <f t="shared" si="0"/>
        <v>311821.53</v>
      </c>
      <c r="C10" s="24">
        <f>ROUND('Форма 4'!C63*'Базовые цены за единицу'!C10,2)</f>
        <v>8795.32</v>
      </c>
      <c r="D10" s="24">
        <f>ROUND('Форма 4'!C63*'Базовые цены за единицу'!D10,2)</f>
        <v>1020.84</v>
      </c>
      <c r="E10" s="24">
        <f>ROUND('Форма 4'!C63*'Базовые цены за единицу'!E10,2)</f>
        <v>177.28</v>
      </c>
      <c r="F10" s="24">
        <f>ROUND('Форма 4'!C63*'Базовые цены за единицу'!F10,2)</f>
        <v>302005.37</v>
      </c>
      <c r="G10" s="24">
        <f>ROUND('Форма 4'!C63*'Базовые цены за единицу'!G10,2)</f>
        <v>0</v>
      </c>
      <c r="H10" s="24">
        <f>ROUND('Форма 4'!C63*'Базовые цены за единицу'!H10,2)</f>
        <v>0</v>
      </c>
      <c r="I10" s="25">
        <f>ОКРУГЛВСЕ('Форма 4'!C63*'Базовые цены за единицу'!I10,8)</f>
        <v>778.4395</v>
      </c>
      <c r="J10" s="25">
        <f>ОКРУГЛВСЕ('Форма 4'!C63*'Базовые цены за единицу'!J10,8)</f>
        <v>0</v>
      </c>
      <c r="K10" s="25">
        <f>ОКРУГЛВСЕ('Форма 4'!C63*'Базовые цены за единицу'!K10,8)</f>
        <v>15.36625</v>
      </c>
      <c r="L10" s="24">
        <f>ROUND('Форма 4'!C63*'Базовые цены за единицу'!L10,2)</f>
        <v>0</v>
      </c>
      <c r="M10" s="24">
        <f>ROUND('Форма 4'!C63*'Базовые цены за единицу'!M10,2)</f>
        <v>0</v>
      </c>
      <c r="N10" s="24">
        <f>ROUND((C10+E10)*'Форма 4'!C66/100,2)</f>
        <v>9690.41</v>
      </c>
      <c r="O10" s="24">
        <f>ROUND((C10+E10)*'Форма 4'!C69/100,2)</f>
        <v>4934.93</v>
      </c>
      <c r="P10" s="24">
        <f>ROUND('Форма 4'!C63*'Базовые цены за единицу'!P10,2)</f>
        <v>9499</v>
      </c>
      <c r="Q10" s="24">
        <f>ROUND('Форма 4'!C63*'Базовые цены за единицу'!Q10,2)</f>
        <v>191.38</v>
      </c>
      <c r="R10" s="24">
        <f>ROUND('Форма 4'!C63*'Базовые цены за единицу'!R10,2)</f>
        <v>4837.49</v>
      </c>
      <c r="S10" s="24">
        <f>ROUND('Форма 4'!C63*'Базовые цены за единицу'!S10,2)</f>
        <v>97.44</v>
      </c>
      <c r="T10" s="24">
        <f>ROUND('Форма 4'!C63*'Базовые цены за единицу'!T10,2)</f>
        <v>0</v>
      </c>
      <c r="U10" s="24">
        <f>ROUND('Форма 4'!C63*'Базовые цены за единицу'!U10,2)</f>
        <v>0</v>
      </c>
      <c r="V10" s="24">
        <f>ROUND('Форма 4'!C63*'Базовые цены за единицу'!V10,2)</f>
        <v>0</v>
      </c>
      <c r="X10" s="26">
        <f>ROUND('Форма 4'!C63*'Базовые цены за единицу'!X10,2)</f>
        <v>0</v>
      </c>
      <c r="Y10" s="26">
        <f>IF(Определители!I10="9",ROUND((C10+E10)*(Начисления!M10/100)*('Форма 4'!C66/100),2),0)</f>
        <v>0</v>
      </c>
      <c r="Z10" s="26">
        <f>IF(Определители!I10="9",ROUND((C10+E10)*(100-Начисления!M10/100)*('Форма 4'!C66/100),2),0)</f>
        <v>0</v>
      </c>
      <c r="AA10" s="26">
        <f>IF(Определители!I10="9",ROUND((C10+E10)*(Начисления!M10/100)*('Форма 4'!C69/100),2),0)</f>
        <v>0</v>
      </c>
      <c r="AB10" s="26">
        <f>IF(Определители!I10="9",ROUND((C10+E10)*(100-Начисления!M10/100)*('Форма 4'!C69/100),2),0)</f>
        <v>0</v>
      </c>
      <c r="AC10" s="26">
        <f>IF(Определители!I10="9",ROUND(B10*Начисления!M10/100,2),0)</f>
        <v>0</v>
      </c>
      <c r="AD10" s="26">
        <f>IF(Определители!I10="9",ROUND(B10*(100-Начисления!M10)/100,2),0)</f>
        <v>0</v>
      </c>
    </row>
    <row r="11" spans="1:30" ht="10.5">
      <c r="A11" s="24" t="str">
        <f>'Форма 4'!A73</f>
        <v>6.</v>
      </c>
      <c r="B11" s="24">
        <f t="shared" si="0"/>
        <v>94.71</v>
      </c>
      <c r="C11" s="24">
        <f>ROUND('Форма 4'!C73*'Базовые цены за единицу'!C11,2)</f>
        <v>79.36</v>
      </c>
      <c r="D11" s="24">
        <f>ROUND('Форма 4'!C73*'Базовые цены за единицу'!D11,2)</f>
        <v>12.53</v>
      </c>
      <c r="E11" s="24">
        <f>ROUND('Форма 4'!C73*'Базовые цены за единицу'!E11,2)</f>
        <v>0.68</v>
      </c>
      <c r="F11" s="24">
        <f>ROUND('Форма 4'!C73*'Базовые цены за единицу'!F11,2)</f>
        <v>2.82</v>
      </c>
      <c r="G11" s="24">
        <f>ROUND('Форма 4'!C73*'Базовые цены за единицу'!G11,2)</f>
        <v>0</v>
      </c>
      <c r="H11" s="24">
        <f>ROUND('Форма 4'!C73*'Базовые цены за единицу'!H11,2)</f>
        <v>0</v>
      </c>
      <c r="I11" s="25">
        <f>ОКРУГЛВСЕ('Форма 4'!C73*'Базовые цены за единицу'!I11,8)</f>
        <v>7.36202</v>
      </c>
      <c r="J11" s="25">
        <f>ОКРУГЛВСЕ('Форма 4'!C73*'Базовые цены за единицу'!J11,8)</f>
        <v>0</v>
      </c>
      <c r="K11" s="25">
        <f>ОКРУГЛВСЕ('Форма 4'!C73*'Базовые цены за единицу'!K11,8)</f>
        <v>0.04165</v>
      </c>
      <c r="L11" s="24">
        <f>ROUND('Форма 4'!C73*'Базовые цены за единицу'!L11,2)</f>
        <v>0</v>
      </c>
      <c r="M11" s="24">
        <f>ROUND('Форма 4'!C73*'Базовые цены за единицу'!M11,2)</f>
        <v>0</v>
      </c>
      <c r="N11" s="24">
        <f>ROUND((C11+E11)*'Форма 4'!C76/100,2)</f>
        <v>64.83</v>
      </c>
      <c r="O11" s="24">
        <f>ROUND((C11+E11)*'Форма 4'!C79/100,2)</f>
        <v>57.63</v>
      </c>
      <c r="P11" s="24">
        <f>ROUND('Форма 4'!C73*'Базовые цены за единицу'!P11,2)</f>
        <v>64.28</v>
      </c>
      <c r="Q11" s="24">
        <f>ROUND('Форма 4'!C73*'Базовые цены за единицу'!Q11,2)</f>
        <v>0.55</v>
      </c>
      <c r="R11" s="24">
        <f>ROUND('Форма 4'!C73*'Базовые цены за единицу'!R11,2)</f>
        <v>57.14</v>
      </c>
      <c r="S11" s="24">
        <f>ROUND('Форма 4'!C73*'Базовые цены за единицу'!S11,2)</f>
        <v>0.49</v>
      </c>
      <c r="T11" s="24">
        <f>ROUND('Форма 4'!C73*'Базовые цены за единицу'!T11,2)</f>
        <v>0</v>
      </c>
      <c r="U11" s="24">
        <f>ROUND('Форма 4'!C73*'Базовые цены за единицу'!U11,2)</f>
        <v>0</v>
      </c>
      <c r="V11" s="24">
        <f>ROUND('Форма 4'!C73*'Базовые цены за единицу'!V11,2)</f>
        <v>0</v>
      </c>
      <c r="X11" s="26">
        <f>ROUND('Форма 4'!C73*'Базовые цены за единицу'!X11,2)</f>
        <v>0</v>
      </c>
      <c r="Y11" s="26">
        <f>IF(Определители!I11="9",ROUND((C11+E11)*(Начисления!M11/100)*('Форма 4'!C76/100),2),0)</f>
        <v>0</v>
      </c>
      <c r="Z11" s="26">
        <f>IF(Определители!I11="9",ROUND((C11+E11)*(100-Начисления!M11/100)*('Форма 4'!C76/100),2),0)</f>
        <v>0</v>
      </c>
      <c r="AA11" s="26">
        <f>IF(Определители!I11="9",ROUND((C11+E11)*(Начисления!M11/100)*('Форма 4'!C79/100),2),0)</f>
        <v>0</v>
      </c>
      <c r="AB11" s="26">
        <f>IF(Определители!I11="9",ROUND((C11+E11)*(100-Начисления!M11/100)*('Форма 4'!C79/100),2),0)</f>
        <v>0</v>
      </c>
      <c r="AC11" s="26">
        <f>IF(Определители!I11="9",ROUND(B11*Начисления!M11/100,2),0)</f>
        <v>0</v>
      </c>
      <c r="AD11" s="26">
        <f>IF(Определители!I11="9",ROUND(B11*(100-Начисления!M11)/100,2),0)</f>
        <v>0</v>
      </c>
    </row>
    <row r="12" spans="1:30" ht="10.5">
      <c r="A12" s="24" t="str">
        <f>'Форма 4'!A83</f>
        <v>7.</v>
      </c>
      <c r="B12" s="24">
        <f t="shared" si="0"/>
        <v>30.71</v>
      </c>
      <c r="C12" s="24">
        <f>ROUND('Форма 4'!C83*'Базовые цены за единицу'!C12,2)</f>
        <v>6.45</v>
      </c>
      <c r="D12" s="24">
        <f>ROUND('Форма 4'!C83*'Базовые цены за единицу'!D12,2)</f>
        <v>0.15</v>
      </c>
      <c r="E12" s="24">
        <f>ROUND('Форма 4'!C83*'Базовые цены за единицу'!E12,2)</f>
        <v>0.01</v>
      </c>
      <c r="F12" s="24">
        <f>ROUND('Форма 4'!C83*'Базовые цены за единицу'!F12,2)</f>
        <v>24.11</v>
      </c>
      <c r="G12" s="24">
        <f>ROUND('Форма 4'!C83*'Базовые цены за единицу'!G12,2)</f>
        <v>0</v>
      </c>
      <c r="H12" s="24">
        <f>ROUND('Форма 4'!C83*'Базовые цены за единицу'!H12,2)</f>
        <v>0</v>
      </c>
      <c r="I12" s="25">
        <f>ОКРУГЛВСЕ('Форма 4'!C83*'Базовые цены за единицу'!I12,8)</f>
        <v>0.5760947</v>
      </c>
      <c r="J12" s="25">
        <f>ОКРУГЛВСЕ('Форма 4'!C83*'Базовые цены за единицу'!J12,8)</f>
        <v>0</v>
      </c>
      <c r="K12" s="25">
        <f>ОКРУГЛВСЕ('Форма 4'!C83*'Базовые цены за единицу'!K12,8)</f>
        <v>0.0004875</v>
      </c>
      <c r="L12" s="24">
        <f>ROUND('Форма 4'!C83*'Базовые цены за единицу'!L12,2)</f>
        <v>0</v>
      </c>
      <c r="M12" s="24">
        <f>ROUND('Форма 4'!C83*'Базовые цены за единицу'!M12,2)</f>
        <v>0</v>
      </c>
      <c r="N12" s="24">
        <f>ROUND((C12+E12)*'Форма 4'!C86/100,2)</f>
        <v>6.14</v>
      </c>
      <c r="O12" s="24">
        <f>ROUND((C12+E12)*'Форма 4'!C89/100,2)</f>
        <v>3.04</v>
      </c>
      <c r="P12" s="24">
        <f>ROUND('Форма 4'!C83*'Базовые цены за единицу'!P12,2)</f>
        <v>6.13</v>
      </c>
      <c r="Q12" s="24">
        <f>ROUND('Форма 4'!C83*'Базовые цены за единицу'!Q12,2)</f>
        <v>0.01</v>
      </c>
      <c r="R12" s="24">
        <f>ROUND('Форма 4'!C83*'Базовые цены за единицу'!R12,2)</f>
        <v>3.03</v>
      </c>
      <c r="S12" s="24">
        <f>ROUND('Форма 4'!C83*'Базовые цены за единицу'!S12,2)</f>
        <v>0</v>
      </c>
      <c r="T12" s="24">
        <f>ROUND('Форма 4'!C83*'Базовые цены за единицу'!T12,2)</f>
        <v>0</v>
      </c>
      <c r="U12" s="24">
        <f>ROUND('Форма 4'!C83*'Базовые цены за единицу'!U12,2)</f>
        <v>0</v>
      </c>
      <c r="V12" s="24">
        <f>ROUND('Форма 4'!C83*'Базовые цены за единицу'!V12,2)</f>
        <v>0</v>
      </c>
      <c r="X12" s="26">
        <f>ROUND('Форма 4'!C83*'Базовые цены за единицу'!X12,2)</f>
        <v>0</v>
      </c>
      <c r="Y12" s="26">
        <f>IF(Определители!I12="9",ROUND((C12+E12)*(Начисления!M12/100)*('Форма 4'!C86/100),2),0)</f>
        <v>0</v>
      </c>
      <c r="Z12" s="26">
        <f>IF(Определители!I12="9",ROUND((C12+E12)*(100-Начисления!M12/100)*('Форма 4'!C86/100),2),0)</f>
        <v>0</v>
      </c>
      <c r="AA12" s="26">
        <f>IF(Определители!I12="9",ROUND((C12+E12)*(Начисления!M12/100)*('Форма 4'!C89/100),2),0)</f>
        <v>0</v>
      </c>
      <c r="AB12" s="26">
        <f>IF(Определители!I12="9",ROUND((C12+E12)*(100-Начисления!M12/100)*('Форма 4'!C89/100),2),0)</f>
        <v>0</v>
      </c>
      <c r="AC12" s="26">
        <f>IF(Определители!I12="9",ROUND(B12*Начисления!M12/100,2),0)</f>
        <v>0</v>
      </c>
      <c r="AD12" s="26">
        <f>IF(Определители!I12="9",ROUND(B12*(100-Начисления!M12)/100,2),0)</f>
        <v>0</v>
      </c>
    </row>
    <row r="13" spans="1:30" ht="10.5">
      <c r="A13" s="24" t="str">
        <f>'Форма 4'!A93</f>
        <v>8.</v>
      </c>
      <c r="B13" s="24">
        <f t="shared" si="0"/>
        <v>997.56</v>
      </c>
      <c r="C13" s="24">
        <f>ROUND('Форма 4'!C93*'Базовые цены за единицу'!C13,2)</f>
        <v>0</v>
      </c>
      <c r="D13" s="24">
        <f>ROUND('Форма 4'!C93*'Базовые цены за единицу'!D13,2)</f>
        <v>0</v>
      </c>
      <c r="E13" s="24">
        <f>ROUND('Форма 4'!C93*'Базовые цены за единицу'!E13,2)</f>
        <v>0</v>
      </c>
      <c r="F13" s="24">
        <f>ROUND('Форма 4'!C93*'Базовые цены за единицу'!F13,2)</f>
        <v>997.56</v>
      </c>
      <c r="G13" s="24">
        <f>ROUND('Форма 4'!C93*'Базовые цены за единицу'!G13,2)</f>
        <v>970.36</v>
      </c>
      <c r="H13" s="24">
        <f>ROUND('Форма 4'!C93*'Базовые цены за единицу'!H13,2)</f>
        <v>0</v>
      </c>
      <c r="I13" s="25">
        <f>ОКРУГЛВСЕ('Форма 4'!C93*'Базовые цены за единицу'!I13,8)</f>
        <v>0</v>
      </c>
      <c r="J13" s="25">
        <f>ОКРУГЛВСЕ('Форма 4'!C93*'Базовые цены за единицу'!J13,8)</f>
        <v>0</v>
      </c>
      <c r="K13" s="25">
        <f>ОКРУГЛВСЕ('Форма 4'!C93*'Базовые цены за единицу'!K13,8)</f>
        <v>0</v>
      </c>
      <c r="L13" s="24">
        <f>ROUND('Форма 4'!C93*'Базовые цены за единицу'!L13,2)</f>
        <v>0.48</v>
      </c>
      <c r="M13" s="24">
        <f>ROUND('Форма 4'!C93*'Базовые цены за единицу'!M13,2)</f>
        <v>0</v>
      </c>
      <c r="N13" s="24">
        <f>ROUND((C13+E13)*'Форма 4'!C95/100,2)</f>
        <v>0</v>
      </c>
      <c r="O13" s="24">
        <f>ROUND((C13+E13)*'Форма 4'!C98/100,2)</f>
        <v>0</v>
      </c>
      <c r="P13" s="24">
        <f>ROUND('Форма 4'!C93*'Базовые цены за единицу'!P13,2)</f>
        <v>0</v>
      </c>
      <c r="Q13" s="24">
        <f>ROUND('Форма 4'!C93*'Базовые цены за единицу'!Q13,2)</f>
        <v>0</v>
      </c>
      <c r="R13" s="24">
        <f>ROUND('Форма 4'!C93*'Базовые цены за единицу'!R13,2)</f>
        <v>0</v>
      </c>
      <c r="S13" s="24">
        <f>ROUND('Форма 4'!C93*'Базовые цены за единицу'!S13,2)</f>
        <v>0</v>
      </c>
      <c r="T13" s="24">
        <f>ROUND('Форма 4'!C93*'Базовые цены за единицу'!T13,2)</f>
        <v>0</v>
      </c>
      <c r="U13" s="24">
        <f>ROUND('Форма 4'!C93*'Базовые цены за единицу'!U13,2)</f>
        <v>0</v>
      </c>
      <c r="V13" s="24">
        <f>ROUND('Форма 4'!C93*'Базовые цены за единицу'!V13,2)</f>
        <v>0</v>
      </c>
      <c r="X13" s="26">
        <f>ROUND('Форма 4'!C93*'Базовые цены за единицу'!X13,2)</f>
        <v>0</v>
      </c>
      <c r="Y13" s="26">
        <f>IF(Определители!I13="9",ROUND((C13+E13)*(Начисления!M13/100)*('Форма 4'!C95/100),2),0)</f>
        <v>0</v>
      </c>
      <c r="Z13" s="26">
        <f>IF(Определители!I13="9",ROUND((C13+E13)*(100-Начисления!M13/100)*('Форма 4'!C95/100),2),0)</f>
        <v>0</v>
      </c>
      <c r="AA13" s="26">
        <f>IF(Определители!I13="9",ROUND((C13+E13)*(Начисления!M13/100)*('Форма 4'!C98/100),2),0)</f>
        <v>0</v>
      </c>
      <c r="AB13" s="26">
        <f>IF(Определители!I13="9",ROUND((C13+E13)*(100-Начисления!M13/100)*('Форма 4'!C98/100),2),0)</f>
        <v>0</v>
      </c>
      <c r="AC13" s="26">
        <f>IF(Определители!I13="9",ROUND(B13*Начисления!M13/100,2),0)</f>
        <v>0</v>
      </c>
      <c r="AD13" s="26">
        <f>IF(Определители!I13="9",ROUND(B13*(100-Начисления!M13)/100,2),0)</f>
        <v>0</v>
      </c>
    </row>
    <row r="14" spans="1:30" ht="10.5">
      <c r="A14" s="24" t="str">
        <f>'Форма 4'!A102</f>
        <v>9.</v>
      </c>
      <c r="B14" s="24">
        <f t="shared" si="0"/>
        <v>3.92</v>
      </c>
      <c r="C14" s="24">
        <f>ROUND('Форма 4'!C102*'Базовые цены за единицу'!C14,2)</f>
        <v>0</v>
      </c>
      <c r="D14" s="24">
        <f>ROUND('Форма 4'!C102*'Базовые цены за единицу'!D14,2)</f>
        <v>3.92</v>
      </c>
      <c r="E14" s="24">
        <f>ROUND('Форма 4'!C102*'Базовые цены за единицу'!E14,2)</f>
        <v>0</v>
      </c>
      <c r="F14" s="24">
        <f>ROUND('Форма 4'!C102*'Базовые цены за единицу'!F14,2)</f>
        <v>0</v>
      </c>
      <c r="G14" s="24">
        <f>ROUND('Форма 4'!C102*'Базовые цены за единицу'!G14,2)</f>
        <v>0</v>
      </c>
      <c r="H14" s="24">
        <f>ROUND('Форма 4'!C102*'Базовые цены за единицу'!H14,2)</f>
        <v>0</v>
      </c>
      <c r="I14" s="25">
        <f>ОКРУГЛВСЕ('Форма 4'!C102*'Базовые цены за единицу'!I14,8)</f>
        <v>0</v>
      </c>
      <c r="J14" s="25">
        <f>ОКРУГЛВСЕ('Форма 4'!C102*'Базовые цены за единицу'!J14,8)</f>
        <v>0</v>
      </c>
      <c r="K14" s="25">
        <f>ОКРУГЛВСЕ('Форма 4'!C102*'Базовые цены за единицу'!K14,8)</f>
        <v>0</v>
      </c>
      <c r="L14" s="24">
        <f>ROUND('Форма 4'!C102*'Базовые цены за единицу'!L14,2)</f>
        <v>0</v>
      </c>
      <c r="M14" s="24">
        <f>ROUND('Форма 4'!C102*'Базовые цены за единицу'!M14,2)</f>
        <v>0</v>
      </c>
      <c r="N14" s="24">
        <f>ROUND((C14+E14)*'Форма 4'!C104/100,2)</f>
        <v>0</v>
      </c>
      <c r="O14" s="24">
        <f>ROUND((C14+E14)*'Форма 4'!C107/100,2)</f>
        <v>0</v>
      </c>
      <c r="P14" s="24">
        <f>ROUND('Форма 4'!C102*'Базовые цены за единицу'!P14,2)</f>
        <v>0</v>
      </c>
      <c r="Q14" s="24">
        <f>ROUND('Форма 4'!C102*'Базовые цены за единицу'!Q14,2)</f>
        <v>0</v>
      </c>
      <c r="R14" s="24">
        <f>ROUND('Форма 4'!C102*'Базовые цены за единицу'!R14,2)</f>
        <v>0</v>
      </c>
      <c r="S14" s="24">
        <f>ROUND('Форма 4'!C102*'Базовые цены за единицу'!S14,2)</f>
        <v>0</v>
      </c>
      <c r="T14" s="24">
        <f>ROUND('Форма 4'!C102*'Базовые цены за единицу'!T14,2)</f>
        <v>0</v>
      </c>
      <c r="U14" s="24">
        <f>ROUND('Форма 4'!C102*'Базовые цены за единицу'!U14,2)</f>
        <v>0</v>
      </c>
      <c r="V14" s="24">
        <f>ROUND('Форма 4'!C102*'Базовые цены за единицу'!V14,2)</f>
        <v>0</v>
      </c>
      <c r="X14" s="26">
        <f>ROUND('Форма 4'!C102*'Базовые цены за единицу'!X14,2)</f>
        <v>0</v>
      </c>
      <c r="Y14" s="26">
        <f>IF(Определители!I14="9",ROUND((C14+E14)*(Начисления!M14/100)*('Форма 4'!C104/100),2),0)</f>
        <v>0</v>
      </c>
      <c r="Z14" s="26">
        <f>IF(Определители!I14="9",ROUND((C14+E14)*(100-Начисления!M14/100)*('Форма 4'!C104/100),2),0)</f>
        <v>0</v>
      </c>
      <c r="AA14" s="26">
        <f>IF(Определители!I14="9",ROUND((C14+E14)*(Начисления!M14/100)*('Форма 4'!C107/100),2),0)</f>
        <v>0</v>
      </c>
      <c r="AB14" s="26">
        <f>IF(Определители!I14="9",ROUND((C14+E14)*(100-Начисления!M14/100)*('Форма 4'!C107/100),2),0)</f>
        <v>0</v>
      </c>
      <c r="AC14" s="26">
        <f>IF(Определители!I14="9",ROUND(B14*Начисления!M14/100,2),0)</f>
        <v>0</v>
      </c>
      <c r="AD14" s="26">
        <f>IF(Определители!I14="9",ROUND(B14*(100-Начисления!M14)/100,2),0)</f>
        <v>0</v>
      </c>
    </row>
    <row r="15" spans="1:30" ht="10.5">
      <c r="A15" s="24" t="str">
        <f>'Форма 4'!A111</f>
        <v>10.</v>
      </c>
      <c r="B15" s="24">
        <f t="shared" si="0"/>
        <v>8.82</v>
      </c>
      <c r="C15" s="24">
        <f>ROUND('Форма 4'!C111*'Базовые цены за единицу'!C15,2)</f>
        <v>0</v>
      </c>
      <c r="D15" s="24">
        <f>ROUND('Форма 4'!C111*'Базовые цены за единицу'!D15,2)</f>
        <v>0</v>
      </c>
      <c r="E15" s="24">
        <f>ROUND('Форма 4'!C111*'Базовые цены за единицу'!E15,2)</f>
        <v>0</v>
      </c>
      <c r="F15" s="24">
        <f>ROUND('Форма 4'!C111*'Базовые цены за единицу'!F15,2)</f>
        <v>8.82</v>
      </c>
      <c r="G15" s="24">
        <f>ROUND('Форма 4'!C111*'Базовые цены за единицу'!G15,2)</f>
        <v>0</v>
      </c>
      <c r="H15" s="24">
        <f>ROUND('Форма 4'!C111*'Базовые цены за единицу'!H15,2)</f>
        <v>0</v>
      </c>
      <c r="I15" s="25">
        <f>ОКРУГЛВСЕ('Форма 4'!C111*'Базовые цены за единицу'!I15,8)</f>
        <v>0</v>
      </c>
      <c r="J15" s="25">
        <f>ОКРУГЛВСЕ('Форма 4'!C111*'Базовые цены за единицу'!J15,8)</f>
        <v>0</v>
      </c>
      <c r="K15" s="25">
        <f>ОКРУГЛВСЕ('Форма 4'!C111*'Базовые цены за единицу'!K15,8)</f>
        <v>0</v>
      </c>
      <c r="L15" s="24">
        <f>ROUND('Форма 4'!C111*'Базовые цены за единицу'!L15,2)</f>
        <v>3.43</v>
      </c>
      <c r="M15" s="24">
        <f>ROUND('Форма 4'!C111*'Базовые цены за единицу'!M15,2)</f>
        <v>0</v>
      </c>
      <c r="N15" s="24">
        <f>ROUND((C15+E15)*'Форма 4'!C113/100,2)</f>
        <v>0</v>
      </c>
      <c r="O15" s="24">
        <f>ROUND((C15+E15)*'Форма 4'!C116/100,2)</f>
        <v>0</v>
      </c>
      <c r="P15" s="24">
        <f>ROUND('Форма 4'!C111*'Базовые цены за единицу'!P15,2)</f>
        <v>0</v>
      </c>
      <c r="Q15" s="24">
        <f>ROUND('Форма 4'!C111*'Базовые цены за единицу'!Q15,2)</f>
        <v>0</v>
      </c>
      <c r="R15" s="24">
        <f>ROUND('Форма 4'!C111*'Базовые цены за единицу'!R15,2)</f>
        <v>0</v>
      </c>
      <c r="S15" s="24">
        <f>ROUND('Форма 4'!C111*'Базовые цены за единицу'!S15,2)</f>
        <v>0</v>
      </c>
      <c r="T15" s="24">
        <f>ROUND('Форма 4'!C111*'Базовые цены за единицу'!T15,2)</f>
        <v>0</v>
      </c>
      <c r="U15" s="24">
        <f>ROUND('Форма 4'!C111*'Базовые цены за единицу'!U15,2)</f>
        <v>0</v>
      </c>
      <c r="V15" s="24">
        <f>ROUND('Форма 4'!C111*'Базовые цены за единицу'!V15,2)</f>
        <v>0</v>
      </c>
      <c r="X15" s="26">
        <f>ROUND('Форма 4'!C111*'Базовые цены за единицу'!X15,2)</f>
        <v>0</v>
      </c>
      <c r="Y15" s="26">
        <f>IF(Определители!I15="9",ROUND((C15+E15)*(Начисления!M15/100)*('Форма 4'!C113/100),2),0)</f>
        <v>0</v>
      </c>
      <c r="Z15" s="26">
        <f>IF(Определители!I15="9",ROUND((C15+E15)*(100-Начисления!M15/100)*('Форма 4'!C113/100),2),0)</f>
        <v>0</v>
      </c>
      <c r="AA15" s="26">
        <f>IF(Определители!I15="9",ROUND((C15+E15)*(Начисления!M15/100)*('Форма 4'!C116/100),2),0)</f>
        <v>0</v>
      </c>
      <c r="AB15" s="26">
        <f>IF(Определители!I15="9",ROUND((C15+E15)*(100-Начисления!M15/100)*('Форма 4'!C116/100),2),0)</f>
        <v>0</v>
      </c>
      <c r="AC15" s="26">
        <f>IF(Определители!I15="9",ROUND(B15*Начисления!M15/100,2),0)</f>
        <v>0</v>
      </c>
      <c r="AD15" s="26">
        <f>IF(Определители!I15="9",ROUND(B15*(100-Начисления!M15)/100,2),0)</f>
        <v>0</v>
      </c>
    </row>
    <row r="16" spans="1:30" ht="10.5">
      <c r="A16" s="24" t="str">
        <f>'Форма 4'!A122</f>
        <v>11.</v>
      </c>
      <c r="B16" s="24">
        <f t="shared" si="0"/>
        <v>327.43</v>
      </c>
      <c r="C16" s="24">
        <f>ROUND('Форма 4'!C122*'Базовые цены за единицу'!C16,2)</f>
        <v>177.44</v>
      </c>
      <c r="D16" s="24">
        <f>ROUND('Форма 4'!C122*'Базовые цены за единицу'!D16,2)</f>
        <v>9.2</v>
      </c>
      <c r="E16" s="24">
        <f>ROUND('Форма 4'!C122*'Базовые цены за единицу'!E16,2)</f>
        <v>1.66</v>
      </c>
      <c r="F16" s="24">
        <f>ROUND('Форма 4'!C122*'Базовые цены за единицу'!F16,2)</f>
        <v>140.79</v>
      </c>
      <c r="G16" s="24">
        <f>ROUND('Форма 4'!C122*'Базовые цены за единицу'!G16,2)</f>
        <v>0</v>
      </c>
      <c r="H16" s="24">
        <f>ROUND('Форма 4'!C122*'Базовые цены за единицу'!H16,2)</f>
        <v>0</v>
      </c>
      <c r="I16" s="25">
        <f>ОКРУГЛВСЕ('Форма 4'!C122*'Базовые цены за единицу'!I16,8)</f>
        <v>15.84312</v>
      </c>
      <c r="J16" s="25">
        <f>ОКРУГЛВСЕ('Форма 4'!C122*'Базовые цены за единицу'!J16,8)</f>
        <v>0</v>
      </c>
      <c r="K16" s="25">
        <f>ОКРУГЛВСЕ('Форма 4'!C122*'Базовые цены за единицу'!K16,8)</f>
        <v>0.136</v>
      </c>
      <c r="L16" s="24">
        <f>ROUND('Форма 4'!C122*'Базовые цены за единицу'!L16,2)</f>
        <v>0</v>
      </c>
      <c r="M16" s="24">
        <f>ROUND('Форма 4'!C122*'Базовые цены за единицу'!M16,2)</f>
        <v>0</v>
      </c>
      <c r="N16" s="24">
        <f>ROUND((C16+E16)*'Форма 4'!C124/100,2)</f>
        <v>148.65</v>
      </c>
      <c r="O16" s="24">
        <f>ROUND((C16+E16)*'Форма 4'!C127/100,2)</f>
        <v>116.42</v>
      </c>
      <c r="P16" s="24">
        <f>ROUND('Форма 4'!C122*'Базовые цены за единицу'!P16,2)</f>
        <v>147.28</v>
      </c>
      <c r="Q16" s="24">
        <f>ROUND('Форма 4'!C122*'Базовые цены за единицу'!Q16,2)</f>
        <v>1.38</v>
      </c>
      <c r="R16" s="24">
        <f>ROUND('Форма 4'!C122*'Базовые цены за единицу'!R16,2)</f>
        <v>115.34</v>
      </c>
      <c r="S16" s="24">
        <f>ROUND('Форма 4'!C122*'Базовые цены за единицу'!S16,2)</f>
        <v>1.08</v>
      </c>
      <c r="T16" s="24">
        <f>ROUND('Форма 4'!C122*'Базовые цены за единицу'!T16,2)</f>
        <v>0</v>
      </c>
      <c r="U16" s="24">
        <f>ROUND('Форма 4'!C122*'Базовые цены за единицу'!U16,2)</f>
        <v>0</v>
      </c>
      <c r="V16" s="24">
        <f>ROUND('Форма 4'!C122*'Базовые цены за единицу'!V16,2)</f>
        <v>0</v>
      </c>
      <c r="X16" s="26">
        <f>ROUND('Форма 4'!C122*'Базовые цены за единицу'!X16,2)</f>
        <v>0</v>
      </c>
      <c r="Y16" s="26">
        <f>IF(Определители!I16="9",ROUND((C16+E16)*(Начисления!M16/100)*('Форма 4'!C124/100),2),0)</f>
        <v>0</v>
      </c>
      <c r="Z16" s="26">
        <f>IF(Определители!I16="9",ROUND((C16+E16)*(100-Начисления!M16/100)*('Форма 4'!C124/100),2),0)</f>
        <v>0</v>
      </c>
      <c r="AA16" s="26">
        <f>IF(Определители!I16="9",ROUND((C16+E16)*(Начисления!M16/100)*('Форма 4'!C127/100),2),0)</f>
        <v>0</v>
      </c>
      <c r="AB16" s="26">
        <f>IF(Определители!I16="9",ROUND((C16+E16)*(100-Начисления!M16/100)*('Форма 4'!C127/100),2),0)</f>
        <v>0</v>
      </c>
      <c r="AC16" s="26">
        <f>IF(Определители!I16="9",ROUND(B16*Начисления!M16/100,2),0)</f>
        <v>0</v>
      </c>
      <c r="AD16" s="26">
        <f>IF(Определители!I16="9",ROUND(B16*(100-Начисления!M16)/100,2),0)</f>
        <v>0</v>
      </c>
    </row>
    <row r="17" spans="1:30" ht="10.5">
      <c r="A17" s="24" t="str">
        <f>'Форма 4'!A131</f>
        <v>12.</v>
      </c>
      <c r="B17" s="24">
        <f t="shared" si="0"/>
        <v>14458.49</v>
      </c>
      <c r="C17" s="24">
        <f>ROUND('Форма 4'!C131*'Базовые цены за единицу'!C17,2)</f>
        <v>407.82</v>
      </c>
      <c r="D17" s="24">
        <f>ROUND('Форма 4'!C131*'Базовые цены за единицу'!D17,2)</f>
        <v>47.33</v>
      </c>
      <c r="E17" s="24">
        <f>ROUND('Форма 4'!C131*'Базовые цены за единицу'!E17,2)</f>
        <v>8.22</v>
      </c>
      <c r="F17" s="24">
        <f>ROUND('Форма 4'!C131*'Базовые цены за единицу'!F17,2)</f>
        <v>14003.34</v>
      </c>
      <c r="G17" s="24">
        <f>ROUND('Форма 4'!C131*'Базовые цены за единицу'!G17,2)</f>
        <v>0</v>
      </c>
      <c r="H17" s="24">
        <f>ROUND('Форма 4'!C131*'Базовые цены за единицу'!H17,2)</f>
        <v>0</v>
      </c>
      <c r="I17" s="25">
        <f>ОКРУГЛВСЕ('Форма 4'!C131*'Базовые цены за единицу'!I17,8)</f>
        <v>36.094567</v>
      </c>
      <c r="J17" s="25">
        <f>ОКРУГЛВСЕ('Форма 4'!C131*'Базовые цены за единицу'!J17,8)</f>
        <v>0</v>
      </c>
      <c r="K17" s="25">
        <f>ОКРУГЛВСЕ('Форма 4'!C131*'Базовые цены за единицу'!K17,8)</f>
        <v>0.7125</v>
      </c>
      <c r="L17" s="24">
        <f>ROUND('Форма 4'!C131*'Базовые цены за единицу'!L17,2)</f>
        <v>0</v>
      </c>
      <c r="M17" s="24">
        <f>ROUND('Форма 4'!C131*'Базовые цены за единицу'!M17,2)</f>
        <v>0</v>
      </c>
      <c r="N17" s="24">
        <f>ROUND((C17+E17)*'Форма 4'!C134/100,2)</f>
        <v>449.32</v>
      </c>
      <c r="O17" s="24">
        <f>ROUND((C17+E17)*'Форма 4'!C137/100,2)</f>
        <v>228.82</v>
      </c>
      <c r="P17" s="24">
        <f>ROUND('Форма 4'!C131*'Базовые цены за единицу'!P17,2)</f>
        <v>440.45</v>
      </c>
      <c r="Q17" s="24">
        <f>ROUND('Форма 4'!C131*'Базовые цены за единицу'!Q17,2)</f>
        <v>8.87</v>
      </c>
      <c r="R17" s="24">
        <f>ROUND('Форма 4'!C131*'Базовые цены за единицу'!R17,2)</f>
        <v>224.3</v>
      </c>
      <c r="S17" s="24">
        <f>ROUND('Форма 4'!C131*'Базовые цены за единицу'!S17,2)</f>
        <v>4.52</v>
      </c>
      <c r="T17" s="24">
        <f>ROUND('Форма 4'!C131*'Базовые цены за единицу'!T17,2)</f>
        <v>0</v>
      </c>
      <c r="U17" s="24">
        <f>ROUND('Форма 4'!C131*'Базовые цены за единицу'!U17,2)</f>
        <v>0</v>
      </c>
      <c r="V17" s="24">
        <f>ROUND('Форма 4'!C131*'Базовые цены за единицу'!V17,2)</f>
        <v>0</v>
      </c>
      <c r="X17" s="26">
        <f>ROUND('Форма 4'!C131*'Базовые цены за единицу'!X17,2)</f>
        <v>0</v>
      </c>
      <c r="Y17" s="26">
        <f>IF(Определители!I17="9",ROUND((C17+E17)*(Начисления!M17/100)*('Форма 4'!C134/100),2),0)</f>
        <v>0</v>
      </c>
      <c r="Z17" s="26">
        <f>IF(Определители!I17="9",ROUND((C17+E17)*(100-Начисления!M17/100)*('Форма 4'!C134/100),2),0)</f>
        <v>0</v>
      </c>
      <c r="AA17" s="26">
        <f>IF(Определители!I17="9",ROUND((C17+E17)*(Начисления!M17/100)*('Форма 4'!C137/100),2),0)</f>
        <v>0</v>
      </c>
      <c r="AB17" s="26">
        <f>IF(Определители!I17="9",ROUND((C17+E17)*(100-Начисления!M17/100)*('Форма 4'!C137/100),2),0)</f>
        <v>0</v>
      </c>
      <c r="AC17" s="26">
        <f>IF(Определители!I17="9",ROUND(B17*Начисления!M17/100,2),0)</f>
        <v>0</v>
      </c>
      <c r="AD17" s="26">
        <f>IF(Определители!I17="9",ROUND(B17*(100-Начисления!M17)/100,2),0)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7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16384" width="9.140625" style="26" customWidth="1"/>
  </cols>
  <sheetData>
    <row r="1" spans="1:47" s="27" customFormat="1" ht="10.5">
      <c r="A1" s="28"/>
      <c r="B1" s="29" t="s">
        <v>159</v>
      </c>
      <c r="C1" s="29" t="s">
        <v>160</v>
      </c>
      <c r="D1" s="29" t="s">
        <v>161</v>
      </c>
      <c r="E1" s="29" t="s">
        <v>162</v>
      </c>
      <c r="F1" s="29" t="s">
        <v>163</v>
      </c>
      <c r="G1" s="29" t="s">
        <v>164</v>
      </c>
      <c r="H1" s="29" t="s">
        <v>165</v>
      </c>
      <c r="I1" s="29" t="s">
        <v>166</v>
      </c>
      <c r="J1" s="29" t="s">
        <v>167</v>
      </c>
      <c r="K1" s="29" t="s">
        <v>168</v>
      </c>
      <c r="L1" s="29" t="s">
        <v>169</v>
      </c>
      <c r="M1" s="29" t="s">
        <v>170</v>
      </c>
      <c r="N1" s="29" t="s">
        <v>171</v>
      </c>
      <c r="O1" s="29" t="s">
        <v>172</v>
      </c>
      <c r="P1" s="29" t="s">
        <v>173</v>
      </c>
      <c r="Q1" s="29" t="s">
        <v>174</v>
      </c>
      <c r="R1" s="29" t="s">
        <v>175</v>
      </c>
      <c r="S1" s="29" t="s">
        <v>176</v>
      </c>
      <c r="T1" s="29" t="s">
        <v>177</v>
      </c>
      <c r="U1" s="29" t="s">
        <v>178</v>
      </c>
      <c r="V1" s="29" t="s">
        <v>179</v>
      </c>
      <c r="W1" s="29" t="s">
        <v>180</v>
      </c>
      <c r="X1" s="29" t="s">
        <v>181</v>
      </c>
      <c r="Y1" s="29" t="s">
        <v>182</v>
      </c>
      <c r="Z1" s="29" t="s">
        <v>183</v>
      </c>
      <c r="AA1" s="29" t="s">
        <v>184</v>
      </c>
      <c r="AB1" s="29" t="s">
        <v>185</v>
      </c>
      <c r="AC1" s="29" t="s">
        <v>186</v>
      </c>
      <c r="AD1" s="29" t="s">
        <v>187</v>
      </c>
      <c r="AE1" s="29" t="s">
        <v>188</v>
      </c>
      <c r="AF1" s="29" t="s">
        <v>189</v>
      </c>
      <c r="AG1" s="29" t="s">
        <v>190</v>
      </c>
      <c r="AH1" s="29" t="s">
        <v>191</v>
      </c>
      <c r="AI1" s="29" t="s">
        <v>192</v>
      </c>
      <c r="AJ1" s="29" t="s">
        <v>193</v>
      </c>
      <c r="AK1" s="29" t="s">
        <v>194</v>
      </c>
      <c r="AL1" s="29" t="s">
        <v>195</v>
      </c>
      <c r="AM1" s="29" t="s">
        <v>196</v>
      </c>
      <c r="AN1" s="29" t="s">
        <v>197</v>
      </c>
      <c r="AO1" s="29" t="s">
        <v>198</v>
      </c>
      <c r="AP1" s="29" t="s">
        <v>199</v>
      </c>
      <c r="AQ1" s="29" t="s">
        <v>200</v>
      </c>
      <c r="AR1" s="29" t="s">
        <v>201</v>
      </c>
      <c r="AS1" s="29" t="s">
        <v>202</v>
      </c>
      <c r="AT1" s="29" t="s">
        <v>203</v>
      </c>
      <c r="AU1" s="29" t="s">
        <v>204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1"/>
      <c r="B3" s="62" t="s">
        <v>157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1"/>
      <c r="B4" s="62" t="s">
        <v>158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47" ht="10.5">
      <c r="A6" s="30" t="str">
        <f>'Форма 4'!A27</f>
        <v>1.</v>
      </c>
      <c r="B6" s="25">
        <v>1</v>
      </c>
      <c r="C6" s="25">
        <v>1</v>
      </c>
      <c r="D6" s="25">
        <v>1</v>
      </c>
      <c r="E6" s="25">
        <v>1</v>
      </c>
      <c r="F6" s="25">
        <v>1.052</v>
      </c>
      <c r="G6" s="25">
        <v>1</v>
      </c>
      <c r="H6" s="25">
        <v>1</v>
      </c>
      <c r="I6" s="25">
        <v>1</v>
      </c>
      <c r="J6" s="25">
        <v>1</v>
      </c>
      <c r="K6" s="25">
        <v>0</v>
      </c>
      <c r="L6" s="25">
        <v>0</v>
      </c>
      <c r="M6" s="25">
        <v>100</v>
      </c>
      <c r="N6" s="25">
        <v>0</v>
      </c>
      <c r="O6" s="25">
        <v>0</v>
      </c>
      <c r="P6" s="25">
        <v>1</v>
      </c>
      <c r="Q6" s="25">
        <v>1</v>
      </c>
      <c r="R6" s="25">
        <v>0</v>
      </c>
      <c r="S6" s="25">
        <v>0</v>
      </c>
      <c r="T6" s="25">
        <v>1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1.7</v>
      </c>
      <c r="AH6" s="25">
        <v>1.6</v>
      </c>
      <c r="AI6" s="25">
        <v>1.29</v>
      </c>
      <c r="AJ6" s="25">
        <v>0.092</v>
      </c>
      <c r="AK6" s="25">
        <v>0.18</v>
      </c>
      <c r="AL6" s="25">
        <v>1</v>
      </c>
      <c r="AM6" s="25">
        <v>1</v>
      </c>
      <c r="AN6" s="25">
        <v>0.2</v>
      </c>
      <c r="AO6" s="25">
        <v>1.5</v>
      </c>
      <c r="AP6" s="25">
        <v>1</v>
      </c>
      <c r="AQ6" s="25">
        <v>1</v>
      </c>
      <c r="AR6" s="25">
        <v>1</v>
      </c>
      <c r="AS6" s="25">
        <v>1</v>
      </c>
      <c r="AT6" s="25">
        <v>1</v>
      </c>
      <c r="AU6" s="25">
        <v>100</v>
      </c>
    </row>
    <row r="7" spans="1:47" ht="10.5">
      <c r="A7" s="30" t="str">
        <f>'Форма 4'!A36</f>
        <v>2.</v>
      </c>
      <c r="B7" s="25">
        <v>1</v>
      </c>
      <c r="C7" s="25">
        <v>1</v>
      </c>
      <c r="D7" s="25">
        <v>1</v>
      </c>
      <c r="E7" s="25">
        <v>1</v>
      </c>
      <c r="F7" s="25">
        <v>1.052</v>
      </c>
      <c r="G7" s="25">
        <v>1</v>
      </c>
      <c r="H7" s="25">
        <v>1</v>
      </c>
      <c r="I7" s="25">
        <v>1</v>
      </c>
      <c r="J7" s="25">
        <v>1</v>
      </c>
      <c r="K7" s="25">
        <v>0</v>
      </c>
      <c r="L7" s="25">
        <v>0</v>
      </c>
      <c r="M7" s="25">
        <v>100</v>
      </c>
      <c r="N7" s="25">
        <v>0</v>
      </c>
      <c r="O7" s="25">
        <v>0</v>
      </c>
      <c r="P7" s="25">
        <v>1</v>
      </c>
      <c r="Q7" s="25">
        <v>1</v>
      </c>
      <c r="R7" s="25">
        <v>0</v>
      </c>
      <c r="S7" s="25">
        <v>0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1.7</v>
      </c>
      <c r="AH7" s="25">
        <v>1.6</v>
      </c>
      <c r="AI7" s="25">
        <v>1.29</v>
      </c>
      <c r="AJ7" s="25">
        <v>0.092</v>
      </c>
      <c r="AK7" s="25">
        <v>0.18</v>
      </c>
      <c r="AL7" s="25">
        <v>1</v>
      </c>
      <c r="AM7" s="25">
        <v>1</v>
      </c>
      <c r="AN7" s="25">
        <v>0.2</v>
      </c>
      <c r="AO7" s="25">
        <v>1.5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  <c r="AU7" s="25">
        <v>100</v>
      </c>
    </row>
    <row r="8" spans="1:47" ht="10.5">
      <c r="A8" s="30" t="str">
        <f>'Форма 4'!A45</f>
        <v>3.</v>
      </c>
      <c r="B8" s="25">
        <v>1</v>
      </c>
      <c r="C8" s="25">
        <v>1</v>
      </c>
      <c r="D8" s="25">
        <v>1</v>
      </c>
      <c r="E8" s="25">
        <v>1</v>
      </c>
      <c r="F8" s="25">
        <v>1.052</v>
      </c>
      <c r="G8" s="25">
        <v>1</v>
      </c>
      <c r="H8" s="25">
        <v>1</v>
      </c>
      <c r="I8" s="25">
        <v>1</v>
      </c>
      <c r="J8" s="25">
        <v>1</v>
      </c>
      <c r="K8" s="25">
        <v>0</v>
      </c>
      <c r="L8" s="25">
        <v>0</v>
      </c>
      <c r="M8" s="25">
        <v>100</v>
      </c>
      <c r="N8" s="25">
        <v>0</v>
      </c>
      <c r="O8" s="25">
        <v>0</v>
      </c>
      <c r="P8" s="25">
        <v>1</v>
      </c>
      <c r="Q8" s="25">
        <v>1</v>
      </c>
      <c r="R8" s="25">
        <v>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1.7</v>
      </c>
      <c r="AH8" s="25">
        <v>1.6</v>
      </c>
      <c r="AI8" s="25">
        <v>1.29</v>
      </c>
      <c r="AJ8" s="25">
        <v>0.092</v>
      </c>
      <c r="AK8" s="25">
        <v>0.18</v>
      </c>
      <c r="AL8" s="25">
        <v>1</v>
      </c>
      <c r="AM8" s="25">
        <v>1</v>
      </c>
      <c r="AN8" s="25">
        <v>0.2</v>
      </c>
      <c r="AO8" s="25">
        <v>1.5</v>
      </c>
      <c r="AP8" s="25">
        <v>1</v>
      </c>
      <c r="AQ8" s="25">
        <v>1</v>
      </c>
      <c r="AR8" s="25">
        <v>1</v>
      </c>
      <c r="AS8" s="25">
        <v>1</v>
      </c>
      <c r="AT8" s="25">
        <v>1</v>
      </c>
      <c r="AU8" s="25">
        <v>100</v>
      </c>
    </row>
    <row r="9" spans="1:47" ht="10.5">
      <c r="A9" s="30" t="str">
        <f>'Форма 4'!A54</f>
        <v>4.</v>
      </c>
      <c r="B9" s="25">
        <v>1</v>
      </c>
      <c r="C9" s="25">
        <v>1</v>
      </c>
      <c r="D9" s="25">
        <v>1</v>
      </c>
      <c r="E9" s="25">
        <v>1</v>
      </c>
      <c r="F9" s="25">
        <v>1.052</v>
      </c>
      <c r="G9" s="25">
        <v>1</v>
      </c>
      <c r="H9" s="25">
        <v>1</v>
      </c>
      <c r="I9" s="25">
        <v>1</v>
      </c>
      <c r="J9" s="25">
        <v>1</v>
      </c>
      <c r="K9" s="25">
        <v>0</v>
      </c>
      <c r="L9" s="25">
        <v>0</v>
      </c>
      <c r="M9" s="25">
        <v>100</v>
      </c>
      <c r="N9" s="25">
        <v>0</v>
      </c>
      <c r="O9" s="25">
        <v>0</v>
      </c>
      <c r="P9" s="25">
        <v>1</v>
      </c>
      <c r="Q9" s="25">
        <v>1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1.7</v>
      </c>
      <c r="AH9" s="25">
        <v>1.6</v>
      </c>
      <c r="AI9" s="25">
        <v>1.29</v>
      </c>
      <c r="AJ9" s="25">
        <v>0.092</v>
      </c>
      <c r="AK9" s="25">
        <v>0.18</v>
      </c>
      <c r="AL9" s="25">
        <v>1</v>
      </c>
      <c r="AM9" s="25">
        <v>1</v>
      </c>
      <c r="AN9" s="25">
        <v>0.2</v>
      </c>
      <c r="AO9" s="25">
        <v>1.5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100</v>
      </c>
    </row>
    <row r="10" spans="1:47" ht="10.5">
      <c r="A10" s="30" t="str">
        <f>'Форма 4'!A63</f>
        <v>5.</v>
      </c>
      <c r="B10" s="25">
        <v>1</v>
      </c>
      <c r="C10" s="25">
        <v>1</v>
      </c>
      <c r="D10" s="25">
        <v>1.25</v>
      </c>
      <c r="E10" s="25">
        <v>1.25</v>
      </c>
      <c r="F10" s="25">
        <v>1.2098</v>
      </c>
      <c r="G10" s="25">
        <v>1</v>
      </c>
      <c r="H10" s="25">
        <v>1</v>
      </c>
      <c r="I10" s="25">
        <v>1</v>
      </c>
      <c r="J10" s="25">
        <v>1</v>
      </c>
      <c r="K10" s="25">
        <v>0</v>
      </c>
      <c r="L10" s="25">
        <v>0</v>
      </c>
      <c r="M10" s="25">
        <v>100</v>
      </c>
      <c r="N10" s="25">
        <v>0</v>
      </c>
      <c r="O10" s="25">
        <v>0</v>
      </c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1.7</v>
      </c>
      <c r="AH10" s="25">
        <v>1.6</v>
      </c>
      <c r="AI10" s="25">
        <v>1.29</v>
      </c>
      <c r="AJ10" s="25">
        <v>0.092</v>
      </c>
      <c r="AK10" s="25">
        <v>0.18</v>
      </c>
      <c r="AL10" s="25">
        <v>1</v>
      </c>
      <c r="AM10" s="25">
        <v>1</v>
      </c>
      <c r="AN10" s="25">
        <v>0.2</v>
      </c>
      <c r="AO10" s="25">
        <v>1.5</v>
      </c>
      <c r="AP10" s="25">
        <v>1</v>
      </c>
      <c r="AQ10" s="25">
        <v>1</v>
      </c>
      <c r="AR10" s="25">
        <v>1</v>
      </c>
      <c r="AS10" s="25">
        <v>1</v>
      </c>
      <c r="AT10" s="25">
        <v>1</v>
      </c>
      <c r="AU10" s="25">
        <v>100</v>
      </c>
    </row>
    <row r="11" spans="1:47" ht="10.5">
      <c r="A11" s="30" t="str">
        <f>'Форма 4'!A73</f>
        <v>6.</v>
      </c>
      <c r="B11" s="25">
        <v>1</v>
      </c>
      <c r="C11" s="25">
        <v>1</v>
      </c>
      <c r="D11" s="25">
        <v>1.25</v>
      </c>
      <c r="E11" s="25">
        <v>1.25</v>
      </c>
      <c r="F11" s="25">
        <v>1.2098</v>
      </c>
      <c r="G11" s="25">
        <v>1</v>
      </c>
      <c r="H11" s="25">
        <v>1</v>
      </c>
      <c r="I11" s="25">
        <v>1</v>
      </c>
      <c r="J11" s="25">
        <v>1</v>
      </c>
      <c r="K11" s="25">
        <v>0</v>
      </c>
      <c r="L11" s="25">
        <v>0</v>
      </c>
      <c r="M11" s="25">
        <v>100</v>
      </c>
      <c r="N11" s="25">
        <v>0</v>
      </c>
      <c r="O11" s="25">
        <v>0</v>
      </c>
      <c r="P11" s="25">
        <v>1</v>
      </c>
      <c r="Q11" s="25">
        <v>1</v>
      </c>
      <c r="R11" s="25">
        <v>0</v>
      </c>
      <c r="S11" s="25">
        <v>0</v>
      </c>
      <c r="T11" s="25">
        <v>1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1.7</v>
      </c>
      <c r="AH11" s="25">
        <v>1.6</v>
      </c>
      <c r="AI11" s="25">
        <v>1.29</v>
      </c>
      <c r="AJ11" s="25">
        <v>0.092</v>
      </c>
      <c r="AK11" s="25">
        <v>0.18</v>
      </c>
      <c r="AL11" s="25">
        <v>1</v>
      </c>
      <c r="AM11" s="25">
        <v>1</v>
      </c>
      <c r="AN11" s="25">
        <v>0.2</v>
      </c>
      <c r="AO11" s="25">
        <v>1.5</v>
      </c>
      <c r="AP11" s="25">
        <v>1</v>
      </c>
      <c r="AQ11" s="25">
        <v>1</v>
      </c>
      <c r="AR11" s="25">
        <v>1</v>
      </c>
      <c r="AS11" s="25">
        <v>1</v>
      </c>
      <c r="AT11" s="25">
        <v>1</v>
      </c>
      <c r="AU11" s="25">
        <v>100</v>
      </c>
    </row>
    <row r="12" spans="1:47" ht="10.5">
      <c r="A12" s="30" t="str">
        <f>'Форма 4'!A83</f>
        <v>7.</v>
      </c>
      <c r="B12" s="25">
        <v>1</v>
      </c>
      <c r="C12" s="25">
        <v>1</v>
      </c>
      <c r="D12" s="25">
        <v>1.25</v>
      </c>
      <c r="E12" s="25">
        <v>1.25</v>
      </c>
      <c r="F12" s="25">
        <v>1.2098</v>
      </c>
      <c r="G12" s="25">
        <v>1</v>
      </c>
      <c r="H12" s="25">
        <v>1</v>
      </c>
      <c r="I12" s="25">
        <v>1</v>
      </c>
      <c r="J12" s="25">
        <v>1</v>
      </c>
      <c r="K12" s="25">
        <v>0</v>
      </c>
      <c r="L12" s="25">
        <v>0</v>
      </c>
      <c r="M12" s="25">
        <v>100</v>
      </c>
      <c r="N12" s="25">
        <v>0</v>
      </c>
      <c r="O12" s="25">
        <v>0</v>
      </c>
      <c r="P12" s="25">
        <v>1</v>
      </c>
      <c r="Q12" s="25">
        <v>1</v>
      </c>
      <c r="R12" s="25">
        <v>0</v>
      </c>
      <c r="S12" s="25">
        <v>0</v>
      </c>
      <c r="T12" s="25">
        <v>1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1.7</v>
      </c>
      <c r="AH12" s="25">
        <v>1.6</v>
      </c>
      <c r="AI12" s="25">
        <v>1.29</v>
      </c>
      <c r="AJ12" s="25">
        <v>0.092</v>
      </c>
      <c r="AK12" s="25">
        <v>0.18</v>
      </c>
      <c r="AL12" s="25">
        <v>1</v>
      </c>
      <c r="AM12" s="25">
        <v>1</v>
      </c>
      <c r="AN12" s="25">
        <v>0.2</v>
      </c>
      <c r="AO12" s="25">
        <v>1.5</v>
      </c>
      <c r="AP12" s="25">
        <v>1</v>
      </c>
      <c r="AQ12" s="25">
        <v>1</v>
      </c>
      <c r="AR12" s="25">
        <v>1</v>
      </c>
      <c r="AS12" s="25">
        <v>1</v>
      </c>
      <c r="AT12" s="25">
        <v>1</v>
      </c>
      <c r="AU12" s="25">
        <v>100</v>
      </c>
    </row>
    <row r="13" spans="1:47" ht="10.5">
      <c r="A13" s="30" t="str">
        <f>'Форма 4'!A93</f>
        <v>8.</v>
      </c>
      <c r="B13" s="25">
        <v>1</v>
      </c>
      <c r="C13" s="25">
        <v>1</v>
      </c>
      <c r="D13" s="25">
        <v>1</v>
      </c>
      <c r="E13" s="25">
        <v>1</v>
      </c>
      <c r="F13" s="25">
        <v>1.052</v>
      </c>
      <c r="G13" s="25">
        <v>1</v>
      </c>
      <c r="H13" s="25">
        <v>1</v>
      </c>
      <c r="I13" s="25">
        <v>1</v>
      </c>
      <c r="J13" s="25">
        <v>1</v>
      </c>
      <c r="K13" s="25">
        <v>0</v>
      </c>
      <c r="L13" s="25">
        <v>0</v>
      </c>
      <c r="M13" s="25">
        <v>100</v>
      </c>
      <c r="N13" s="25">
        <v>0</v>
      </c>
      <c r="O13" s="25">
        <v>0</v>
      </c>
      <c r="P13" s="25">
        <v>1</v>
      </c>
      <c r="Q13" s="25">
        <v>1</v>
      </c>
      <c r="R13" s="25">
        <v>0</v>
      </c>
      <c r="S13" s="25">
        <v>0</v>
      </c>
      <c r="T13" s="25">
        <v>1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1.7</v>
      </c>
      <c r="AH13" s="25">
        <v>1.6</v>
      </c>
      <c r="AI13" s="25">
        <v>1.29</v>
      </c>
      <c r="AJ13" s="25">
        <v>0.092</v>
      </c>
      <c r="AK13" s="25">
        <v>0.18</v>
      </c>
      <c r="AL13" s="25">
        <v>1</v>
      </c>
      <c r="AM13" s="25">
        <v>1</v>
      </c>
      <c r="AN13" s="25">
        <v>0.2</v>
      </c>
      <c r="AO13" s="25">
        <v>1.5</v>
      </c>
      <c r="AP13" s="25">
        <v>1</v>
      </c>
      <c r="AQ13" s="25">
        <v>1</v>
      </c>
      <c r="AR13" s="25">
        <v>1</v>
      </c>
      <c r="AS13" s="25">
        <v>1</v>
      </c>
      <c r="AT13" s="25">
        <v>1</v>
      </c>
      <c r="AU13" s="25">
        <v>100</v>
      </c>
    </row>
    <row r="14" spans="1:47" ht="10.5">
      <c r="A14" s="30" t="str">
        <f>'Форма 4'!A102</f>
        <v>9.</v>
      </c>
      <c r="B14" s="25">
        <v>1</v>
      </c>
      <c r="C14" s="25">
        <v>1</v>
      </c>
      <c r="D14" s="25">
        <v>1</v>
      </c>
      <c r="E14" s="25">
        <v>1</v>
      </c>
      <c r="F14" s="25">
        <v>1.052</v>
      </c>
      <c r="G14" s="25">
        <v>1</v>
      </c>
      <c r="H14" s="25">
        <v>1</v>
      </c>
      <c r="I14" s="25">
        <v>1</v>
      </c>
      <c r="J14" s="25">
        <v>1</v>
      </c>
      <c r="K14" s="25">
        <v>0</v>
      </c>
      <c r="L14" s="25">
        <v>0</v>
      </c>
      <c r="M14" s="25">
        <v>100</v>
      </c>
      <c r="N14" s="25">
        <v>0</v>
      </c>
      <c r="O14" s="25">
        <v>0</v>
      </c>
      <c r="P14" s="25">
        <v>1</v>
      </c>
      <c r="Q14" s="25">
        <v>1</v>
      </c>
      <c r="R14" s="25">
        <v>0</v>
      </c>
      <c r="S14" s="25">
        <v>0</v>
      </c>
      <c r="T14" s="25">
        <v>1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1.7</v>
      </c>
      <c r="AH14" s="25">
        <v>1.6</v>
      </c>
      <c r="AI14" s="25">
        <v>1.29</v>
      </c>
      <c r="AJ14" s="25">
        <v>0.092</v>
      </c>
      <c r="AK14" s="25">
        <v>0.18</v>
      </c>
      <c r="AL14" s="25">
        <v>1</v>
      </c>
      <c r="AM14" s="25">
        <v>1</v>
      </c>
      <c r="AN14" s="25">
        <v>0.2</v>
      </c>
      <c r="AO14" s="25">
        <v>1.5</v>
      </c>
      <c r="AP14" s="25">
        <v>1</v>
      </c>
      <c r="AQ14" s="25">
        <v>1</v>
      </c>
      <c r="AR14" s="25">
        <v>1</v>
      </c>
      <c r="AS14" s="25">
        <v>1</v>
      </c>
      <c r="AT14" s="25">
        <v>1</v>
      </c>
      <c r="AU14" s="25">
        <v>100</v>
      </c>
    </row>
    <row r="15" spans="1:47" ht="10.5">
      <c r="A15" s="30" t="str">
        <f>'Форма 4'!A111</f>
        <v>10.</v>
      </c>
      <c r="B15" s="25">
        <v>1</v>
      </c>
      <c r="C15" s="25">
        <v>1</v>
      </c>
      <c r="D15" s="25">
        <v>1</v>
      </c>
      <c r="E15" s="25">
        <v>1</v>
      </c>
      <c r="F15" s="25">
        <v>1.052</v>
      </c>
      <c r="G15" s="25">
        <v>1</v>
      </c>
      <c r="H15" s="25">
        <v>1</v>
      </c>
      <c r="I15" s="25">
        <v>1</v>
      </c>
      <c r="J15" s="25">
        <v>1</v>
      </c>
      <c r="K15" s="25">
        <v>0</v>
      </c>
      <c r="L15" s="25">
        <v>0</v>
      </c>
      <c r="M15" s="25">
        <v>100</v>
      </c>
      <c r="N15" s="25">
        <v>0</v>
      </c>
      <c r="O15" s="25">
        <v>0</v>
      </c>
      <c r="P15" s="25">
        <v>1</v>
      </c>
      <c r="Q15" s="25">
        <v>1</v>
      </c>
      <c r="R15" s="25">
        <v>0</v>
      </c>
      <c r="S15" s="25">
        <v>0</v>
      </c>
      <c r="T15" s="25">
        <v>1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1.7</v>
      </c>
      <c r="AH15" s="25">
        <v>1.6</v>
      </c>
      <c r="AI15" s="25">
        <v>1.29</v>
      </c>
      <c r="AJ15" s="25">
        <v>0.092</v>
      </c>
      <c r="AK15" s="25">
        <v>0.18</v>
      </c>
      <c r="AL15" s="25">
        <v>1</v>
      </c>
      <c r="AM15" s="25">
        <v>1</v>
      </c>
      <c r="AN15" s="25">
        <v>0.2</v>
      </c>
      <c r="AO15" s="25">
        <v>1.5</v>
      </c>
      <c r="AP15" s="25">
        <v>1</v>
      </c>
      <c r="AQ15" s="25">
        <v>1</v>
      </c>
      <c r="AR15" s="25">
        <v>1</v>
      </c>
      <c r="AS15" s="25">
        <v>1</v>
      </c>
      <c r="AT15" s="25">
        <v>1</v>
      </c>
      <c r="AU15" s="25">
        <v>100</v>
      </c>
    </row>
    <row r="16" spans="1:47" ht="10.5">
      <c r="A16" s="30" t="str">
        <f>'Форма 4'!A122</f>
        <v>11.</v>
      </c>
      <c r="B16" s="25">
        <v>1</v>
      </c>
      <c r="C16" s="25">
        <v>1</v>
      </c>
      <c r="D16" s="25">
        <v>1</v>
      </c>
      <c r="E16" s="25">
        <v>1</v>
      </c>
      <c r="F16" s="25">
        <v>1.052</v>
      </c>
      <c r="G16" s="25">
        <v>1</v>
      </c>
      <c r="H16" s="25">
        <v>1</v>
      </c>
      <c r="I16" s="25">
        <v>1</v>
      </c>
      <c r="J16" s="25">
        <v>1</v>
      </c>
      <c r="K16" s="25">
        <v>0</v>
      </c>
      <c r="L16" s="25">
        <v>0</v>
      </c>
      <c r="M16" s="25">
        <v>100</v>
      </c>
      <c r="N16" s="25">
        <v>0</v>
      </c>
      <c r="O16" s="25">
        <v>0</v>
      </c>
      <c r="P16" s="25">
        <v>1</v>
      </c>
      <c r="Q16" s="25">
        <v>1</v>
      </c>
      <c r="R16" s="25">
        <v>0</v>
      </c>
      <c r="S16" s="25">
        <v>0</v>
      </c>
      <c r="T16" s="25">
        <v>1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1.7</v>
      </c>
      <c r="AH16" s="25">
        <v>1.6</v>
      </c>
      <c r="AI16" s="25">
        <v>1.29</v>
      </c>
      <c r="AJ16" s="25">
        <v>0.092</v>
      </c>
      <c r="AK16" s="25">
        <v>0.18</v>
      </c>
      <c r="AL16" s="25">
        <v>1</v>
      </c>
      <c r="AM16" s="25">
        <v>1</v>
      </c>
      <c r="AN16" s="25">
        <v>0.2</v>
      </c>
      <c r="AO16" s="25">
        <v>1.5</v>
      </c>
      <c r="AP16" s="25">
        <v>1</v>
      </c>
      <c r="AQ16" s="25">
        <v>1</v>
      </c>
      <c r="AR16" s="25">
        <v>1</v>
      </c>
      <c r="AS16" s="25">
        <v>1</v>
      </c>
      <c r="AT16" s="25">
        <v>1</v>
      </c>
      <c r="AU16" s="25">
        <v>100</v>
      </c>
    </row>
    <row r="17" spans="1:47" ht="10.5">
      <c r="A17" s="30" t="str">
        <f>'Форма 4'!A131</f>
        <v>12.</v>
      </c>
      <c r="B17" s="25">
        <v>1</v>
      </c>
      <c r="C17" s="25">
        <v>1</v>
      </c>
      <c r="D17" s="25">
        <v>1.25</v>
      </c>
      <c r="E17" s="25">
        <v>1.25</v>
      </c>
      <c r="F17" s="25">
        <v>1.2098</v>
      </c>
      <c r="G17" s="25">
        <v>1</v>
      </c>
      <c r="H17" s="25">
        <v>1</v>
      </c>
      <c r="I17" s="25">
        <v>1</v>
      </c>
      <c r="J17" s="25">
        <v>1</v>
      </c>
      <c r="K17" s="25">
        <v>0</v>
      </c>
      <c r="L17" s="25">
        <v>0</v>
      </c>
      <c r="M17" s="25">
        <v>100</v>
      </c>
      <c r="N17" s="25">
        <v>0</v>
      </c>
      <c r="O17" s="25">
        <v>0</v>
      </c>
      <c r="P17" s="25">
        <v>1</v>
      </c>
      <c r="Q17" s="25">
        <v>1</v>
      </c>
      <c r="R17" s="25">
        <v>0</v>
      </c>
      <c r="S17" s="25">
        <v>0</v>
      </c>
      <c r="T17" s="25">
        <v>1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1.7</v>
      </c>
      <c r="AH17" s="25">
        <v>1.6</v>
      </c>
      <c r="AI17" s="25">
        <v>1.29</v>
      </c>
      <c r="AJ17" s="25">
        <v>0.092</v>
      </c>
      <c r="AK17" s="25">
        <v>0.18</v>
      </c>
      <c r="AL17" s="25">
        <v>1</v>
      </c>
      <c r="AM17" s="25">
        <v>1</v>
      </c>
      <c r="AN17" s="25">
        <v>0.2</v>
      </c>
      <c r="AO17" s="25">
        <v>1.5</v>
      </c>
      <c r="AP17" s="25">
        <v>1</v>
      </c>
      <c r="AQ17" s="25">
        <v>1</v>
      </c>
      <c r="AR17" s="25">
        <v>1</v>
      </c>
      <c r="AS17" s="25">
        <v>1</v>
      </c>
      <c r="AT17" s="25">
        <v>1</v>
      </c>
      <c r="AU17" s="25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7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16384" width="9.140625" style="34" customWidth="1"/>
  </cols>
  <sheetData>
    <row r="1" spans="1:10" s="27" customFormat="1" ht="10.5">
      <c r="A1" s="29"/>
      <c r="B1" s="29" t="s">
        <v>205</v>
      </c>
      <c r="C1" s="29" t="s">
        <v>206</v>
      </c>
      <c r="D1" s="29" t="s">
        <v>207</v>
      </c>
      <c r="E1" s="29" t="s">
        <v>208</v>
      </c>
      <c r="F1" s="29" t="s">
        <v>209</v>
      </c>
      <c r="G1" s="29" t="s">
        <v>210</v>
      </c>
      <c r="H1" s="29" t="s">
        <v>211</v>
      </c>
      <c r="I1" s="29" t="s">
        <v>212</v>
      </c>
      <c r="J1" s="29" t="s">
        <v>213</v>
      </c>
    </row>
    <row r="2" spans="1:10" ht="10.5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10.5">
      <c r="A3" s="36"/>
      <c r="B3" s="65" t="s">
        <v>157</v>
      </c>
      <c r="C3" s="65"/>
      <c r="D3" s="65"/>
      <c r="E3" s="65"/>
      <c r="F3" s="65"/>
      <c r="G3" s="65"/>
      <c r="H3" s="65"/>
      <c r="I3" s="65"/>
      <c r="J3" s="65"/>
    </row>
    <row r="4" spans="1:10" ht="10.5">
      <c r="A4" s="36"/>
      <c r="B4" s="65" t="s">
        <v>158</v>
      </c>
      <c r="C4" s="65"/>
      <c r="D4" s="65"/>
      <c r="E4" s="65"/>
      <c r="F4" s="65"/>
      <c r="G4" s="65"/>
      <c r="H4" s="65"/>
      <c r="I4" s="65"/>
      <c r="J4" s="65"/>
    </row>
    <row r="5" spans="1:10" ht="10.5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0" ht="10.5">
      <c r="A6" s="35" t="str">
        <f>'Форма 4'!A27</f>
        <v>1.</v>
      </c>
      <c r="B6" s="34" t="s">
        <v>214</v>
      </c>
      <c r="C6" s="34" t="s">
        <v>214</v>
      </c>
      <c r="D6" s="34" t="s">
        <v>215</v>
      </c>
      <c r="E6" s="34" t="s">
        <v>215</v>
      </c>
      <c r="F6" s="34" t="s">
        <v>216</v>
      </c>
      <c r="G6" s="34" t="s">
        <v>215</v>
      </c>
      <c r="H6" s="34" t="s">
        <v>215</v>
      </c>
      <c r="I6" s="34" t="s">
        <v>217</v>
      </c>
      <c r="J6" s="34" t="s">
        <v>215</v>
      </c>
    </row>
    <row r="7" spans="1:10" ht="10.5">
      <c r="A7" s="35" t="str">
        <f>'Форма 4'!A36</f>
        <v>2.</v>
      </c>
      <c r="B7" s="34" t="s">
        <v>214</v>
      </c>
      <c r="C7" s="34" t="s">
        <v>214</v>
      </c>
      <c r="D7" s="34" t="s">
        <v>215</v>
      </c>
      <c r="E7" s="34" t="s">
        <v>215</v>
      </c>
      <c r="F7" s="34" t="s">
        <v>216</v>
      </c>
      <c r="G7" s="34" t="s">
        <v>215</v>
      </c>
      <c r="H7" s="34" t="s">
        <v>215</v>
      </c>
      <c r="I7" s="34" t="s">
        <v>217</v>
      </c>
      <c r="J7" s="34" t="s">
        <v>215</v>
      </c>
    </row>
    <row r="8" spans="1:10" ht="10.5">
      <c r="A8" s="35" t="str">
        <f>'Форма 4'!A45</f>
        <v>3.</v>
      </c>
      <c r="B8" s="34" t="s">
        <v>214</v>
      </c>
      <c r="C8" s="34" t="s">
        <v>214</v>
      </c>
      <c r="D8" s="34" t="s">
        <v>215</v>
      </c>
      <c r="E8" s="34" t="s">
        <v>215</v>
      </c>
      <c r="F8" s="34" t="s">
        <v>216</v>
      </c>
      <c r="G8" s="34" t="s">
        <v>215</v>
      </c>
      <c r="H8" s="34" t="s">
        <v>215</v>
      </c>
      <c r="I8" s="34" t="s">
        <v>217</v>
      </c>
      <c r="J8" s="34" t="s">
        <v>215</v>
      </c>
    </row>
    <row r="9" spans="1:10" ht="10.5">
      <c r="A9" s="35" t="str">
        <f>'Форма 4'!A54</f>
        <v>4.</v>
      </c>
      <c r="B9" s="34" t="s">
        <v>214</v>
      </c>
      <c r="C9" s="34" t="s">
        <v>214</v>
      </c>
      <c r="D9" s="34" t="s">
        <v>215</v>
      </c>
      <c r="E9" s="34" t="s">
        <v>215</v>
      </c>
      <c r="F9" s="34" t="s">
        <v>216</v>
      </c>
      <c r="G9" s="34" t="s">
        <v>215</v>
      </c>
      <c r="H9" s="34" t="s">
        <v>215</v>
      </c>
      <c r="I9" s="34" t="s">
        <v>217</v>
      </c>
      <c r="J9" s="34" t="s">
        <v>215</v>
      </c>
    </row>
    <row r="10" spans="1:10" ht="10.5">
      <c r="A10" s="35" t="str">
        <f>'Форма 4'!A63</f>
        <v>5.</v>
      </c>
      <c r="B10" s="34" t="s">
        <v>214</v>
      </c>
      <c r="C10" s="34" t="s">
        <v>214</v>
      </c>
      <c r="D10" s="34" t="s">
        <v>215</v>
      </c>
      <c r="E10" s="34" t="s">
        <v>215</v>
      </c>
      <c r="F10" s="34" t="s">
        <v>216</v>
      </c>
      <c r="G10" s="34" t="s">
        <v>215</v>
      </c>
      <c r="H10" s="34" t="s">
        <v>215</v>
      </c>
      <c r="I10" s="34" t="s">
        <v>217</v>
      </c>
      <c r="J10" s="34" t="s">
        <v>215</v>
      </c>
    </row>
    <row r="11" spans="1:10" ht="10.5">
      <c r="A11" s="35" t="str">
        <f>'Форма 4'!A73</f>
        <v>6.</v>
      </c>
      <c r="B11" s="34" t="s">
        <v>214</v>
      </c>
      <c r="C11" s="34" t="s">
        <v>214</v>
      </c>
      <c r="D11" s="34" t="s">
        <v>215</v>
      </c>
      <c r="E11" s="34" t="s">
        <v>215</v>
      </c>
      <c r="F11" s="34" t="s">
        <v>214</v>
      </c>
      <c r="G11" s="34" t="s">
        <v>215</v>
      </c>
      <c r="H11" s="34" t="s">
        <v>215</v>
      </c>
      <c r="I11" s="34" t="s">
        <v>218</v>
      </c>
      <c r="J11" s="34" t="s">
        <v>215</v>
      </c>
    </row>
    <row r="12" spans="1:10" ht="10.5">
      <c r="A12" s="35" t="str">
        <f>'Форма 4'!A83</f>
        <v>7.</v>
      </c>
      <c r="B12" s="34" t="s">
        <v>214</v>
      </c>
      <c r="C12" s="34" t="s">
        <v>214</v>
      </c>
      <c r="D12" s="34" t="s">
        <v>215</v>
      </c>
      <c r="E12" s="34" t="s">
        <v>215</v>
      </c>
      <c r="F12" s="34" t="s">
        <v>216</v>
      </c>
      <c r="G12" s="34" t="s">
        <v>215</v>
      </c>
      <c r="H12" s="34" t="s">
        <v>215</v>
      </c>
      <c r="I12" s="34" t="s">
        <v>217</v>
      </c>
      <c r="J12" s="34" t="s">
        <v>215</v>
      </c>
    </row>
    <row r="13" spans="1:10" ht="10.5">
      <c r="A13" s="35" t="str">
        <f>'Форма 4'!A93</f>
        <v>8.</v>
      </c>
      <c r="B13" s="34" t="s">
        <v>214</v>
      </c>
      <c r="C13" s="34" t="s">
        <v>214</v>
      </c>
      <c r="D13" s="34" t="s">
        <v>215</v>
      </c>
      <c r="E13" s="34" t="s">
        <v>215</v>
      </c>
      <c r="F13" s="34" t="s">
        <v>214</v>
      </c>
      <c r="G13" s="34" t="s">
        <v>214</v>
      </c>
      <c r="H13" s="34" t="s">
        <v>215</v>
      </c>
      <c r="I13" s="34" t="s">
        <v>218</v>
      </c>
      <c r="J13" s="34" t="s">
        <v>215</v>
      </c>
    </row>
    <row r="14" spans="1:10" ht="10.5">
      <c r="A14" s="35" t="str">
        <f>'Форма 4'!A102</f>
        <v>9.</v>
      </c>
      <c r="B14" s="34" t="s">
        <v>214</v>
      </c>
      <c r="C14" s="34" t="s">
        <v>214</v>
      </c>
      <c r="D14" s="34" t="s">
        <v>215</v>
      </c>
      <c r="E14" s="34" t="s">
        <v>215</v>
      </c>
      <c r="F14" s="34" t="s">
        <v>216</v>
      </c>
      <c r="G14" s="34" t="s">
        <v>215</v>
      </c>
      <c r="H14" s="34" t="s">
        <v>215</v>
      </c>
      <c r="I14" s="34" t="s">
        <v>217</v>
      </c>
      <c r="J14" s="34" t="s">
        <v>215</v>
      </c>
    </row>
    <row r="15" spans="1:10" ht="10.5">
      <c r="A15" s="35" t="str">
        <f>'Форма 4'!A111</f>
        <v>10.</v>
      </c>
      <c r="B15" s="34" t="s">
        <v>214</v>
      </c>
      <c r="C15" s="34" t="s">
        <v>214</v>
      </c>
      <c r="D15" s="34" t="s">
        <v>215</v>
      </c>
      <c r="E15" s="34" t="s">
        <v>215</v>
      </c>
      <c r="F15" s="34" t="s">
        <v>216</v>
      </c>
      <c r="G15" s="34" t="s">
        <v>214</v>
      </c>
      <c r="H15" s="34" t="s">
        <v>215</v>
      </c>
      <c r="I15" s="34" t="s">
        <v>217</v>
      </c>
      <c r="J15" s="34" t="s">
        <v>215</v>
      </c>
    </row>
    <row r="16" spans="1:10" ht="10.5">
      <c r="A16" s="35" t="str">
        <f>'Форма 4'!A122</f>
        <v>11.</v>
      </c>
      <c r="B16" s="34" t="s">
        <v>214</v>
      </c>
      <c r="C16" s="34" t="s">
        <v>214</v>
      </c>
      <c r="D16" s="34" t="s">
        <v>215</v>
      </c>
      <c r="E16" s="34" t="s">
        <v>215</v>
      </c>
      <c r="F16" s="34" t="s">
        <v>216</v>
      </c>
      <c r="G16" s="34" t="s">
        <v>215</v>
      </c>
      <c r="H16" s="34" t="s">
        <v>215</v>
      </c>
      <c r="I16" s="34" t="s">
        <v>217</v>
      </c>
      <c r="J16" s="34" t="s">
        <v>215</v>
      </c>
    </row>
    <row r="17" spans="1:10" ht="10.5">
      <c r="A17" s="35" t="str">
        <f>'Форма 4'!A131</f>
        <v>12.</v>
      </c>
      <c r="B17" s="34" t="s">
        <v>214</v>
      </c>
      <c r="C17" s="34" t="s">
        <v>214</v>
      </c>
      <c r="D17" s="34" t="s">
        <v>215</v>
      </c>
      <c r="E17" s="34" t="s">
        <v>215</v>
      </c>
      <c r="F17" s="34" t="s">
        <v>216</v>
      </c>
      <c r="G17" s="34" t="s">
        <v>215</v>
      </c>
      <c r="H17" s="34" t="s">
        <v>215</v>
      </c>
      <c r="I17" s="34" t="s">
        <v>217</v>
      </c>
      <c r="J17" s="34" t="s">
        <v>215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2" width="44.421875" style="7" customWidth="1"/>
    <col min="3" max="3" width="3.421875" style="32" customWidth="1"/>
    <col min="4" max="4" width="6.00390625" style="37" customWidth="1"/>
    <col min="5" max="5" width="6.00390625" style="7" customWidth="1"/>
    <col min="6" max="9" width="12.7109375" style="37" customWidth="1"/>
    <col min="10" max="11" width="18.7109375" style="37" customWidth="1"/>
    <col min="12" max="12" width="12.7109375" style="37" customWidth="1"/>
    <col min="13" max="13" width="9.140625" style="37" customWidth="1"/>
    <col min="14" max="14" width="3.421875" style="32" hidden="1" customWidth="1"/>
    <col min="15" max="16384" width="9.140625" style="37" customWidth="1"/>
  </cols>
  <sheetData>
    <row r="1" ht="10.5">
      <c r="A1" s="30"/>
    </row>
    <row r="2" spans="1:14" ht="10.5">
      <c r="A2" s="60"/>
      <c r="B2" s="66"/>
      <c r="C2" s="66"/>
      <c r="D2" s="67"/>
      <c r="E2" s="66"/>
      <c r="F2" s="67"/>
      <c r="G2" s="67"/>
      <c r="H2" s="67"/>
      <c r="I2" s="67"/>
      <c r="J2" s="67"/>
      <c r="N2" s="37"/>
    </row>
    <row r="3" spans="1:14" ht="10.5">
      <c r="A3" s="31"/>
      <c r="B3" s="62" t="s">
        <v>157</v>
      </c>
      <c r="C3" s="62"/>
      <c r="D3" s="62"/>
      <c r="E3" s="62"/>
      <c r="F3" s="62"/>
      <c r="G3" s="62"/>
      <c r="H3" s="62"/>
      <c r="I3" s="62"/>
      <c r="J3" s="62"/>
      <c r="N3" s="37"/>
    </row>
    <row r="4" spans="1:14" ht="10.5">
      <c r="A4" s="31"/>
      <c r="B4" s="62" t="s">
        <v>158</v>
      </c>
      <c r="C4" s="62"/>
      <c r="D4" s="62"/>
      <c r="E4" s="62"/>
      <c r="F4" s="62"/>
      <c r="G4" s="62"/>
      <c r="H4" s="62"/>
      <c r="I4" s="62"/>
      <c r="J4" s="62"/>
      <c r="N4" s="37"/>
    </row>
    <row r="5" spans="1:14" ht="10.5">
      <c r="A5" s="60"/>
      <c r="B5" s="66"/>
      <c r="C5" s="66"/>
      <c r="D5" s="67"/>
      <c r="E5" s="66"/>
      <c r="F5" s="67"/>
      <c r="G5" s="67"/>
      <c r="H5" s="67"/>
      <c r="I5" s="67"/>
      <c r="J5" s="67"/>
      <c r="N5" s="37"/>
    </row>
    <row r="6" spans="1:14" s="27" customFormat="1" ht="10.5">
      <c r="A6" s="28"/>
      <c r="B6" s="29" t="s">
        <v>219</v>
      </c>
      <c r="C6" s="29" t="s">
        <v>220</v>
      </c>
      <c r="D6" s="38" t="s">
        <v>221</v>
      </c>
      <c r="E6" s="29" t="s">
        <v>222</v>
      </c>
      <c r="F6" s="29" t="s">
        <v>223</v>
      </c>
      <c r="G6" s="29" t="s">
        <v>224</v>
      </c>
      <c r="H6" s="29" t="s">
        <v>225</v>
      </c>
      <c r="I6" s="29" t="s">
        <v>226</v>
      </c>
      <c r="J6" s="29" t="s">
        <v>227</v>
      </c>
      <c r="K6" s="29" t="s">
        <v>228</v>
      </c>
      <c r="L6" s="29" t="s">
        <v>229</v>
      </c>
      <c r="M6" s="29" t="s">
        <v>230</v>
      </c>
      <c r="N6" s="29"/>
    </row>
    <row r="7" spans="1:14" ht="10.5">
      <c r="A7" s="30">
        <v>1</v>
      </c>
      <c r="B7" s="39" t="s">
        <v>68</v>
      </c>
      <c r="C7" s="34" t="s">
        <v>231</v>
      </c>
      <c r="D7" s="37">
        <v>0</v>
      </c>
      <c r="E7" s="37"/>
      <c r="F7" s="24">
        <f>ROUND(SUM('Базовые цены с учетом расхода'!B6:B17),2)</f>
        <v>331766.48</v>
      </c>
      <c r="G7" s="24">
        <f>ROUND(SUM('Базовые цены с учетом расхода'!C6:C17),2)</f>
        <v>12963.61</v>
      </c>
      <c r="H7" s="24">
        <f>ROUND(SUM('Базовые цены с учетом расхода'!D6:D17),2)</f>
        <v>1120.02</v>
      </c>
      <c r="I7" s="24">
        <f>ROUND(SUM('Базовые цены с учетом расхода'!E6:E17),2)</f>
        <v>191.74</v>
      </c>
      <c r="J7" s="40">
        <f>ROUND(SUM('Базовые цены с учетом расхода'!I6:I17),8)</f>
        <v>1114.1722117</v>
      </c>
      <c r="K7" s="40">
        <f>ROUND(SUM('Базовые цены с учетом расхода'!K6:K17),8)</f>
        <v>16.5768875</v>
      </c>
      <c r="L7" s="24">
        <f>ROUND(SUM('Базовые цены с учетом расхода'!F6:F17),2)</f>
        <v>317682.85</v>
      </c>
      <c r="N7" s="34" t="s">
        <v>214</v>
      </c>
    </row>
    <row r="8" spans="1:14" ht="10.5">
      <c r="A8" s="30">
        <v>2</v>
      </c>
      <c r="B8" s="39" t="s">
        <v>69</v>
      </c>
      <c r="C8" s="34" t="s">
        <v>232</v>
      </c>
      <c r="D8" s="37">
        <v>0</v>
      </c>
      <c r="F8" s="24">
        <f>ROUND(SUMIF(Определители!I6:I17,"= ",'Базовые цены с учетом расхода'!B6:B17),2)</f>
        <v>0</v>
      </c>
      <c r="G8" s="24">
        <f>ROUND(SUMIF(Определители!I6:I17,"= ",'Базовые цены с учетом расхода'!C6:C17),2)</f>
        <v>0</v>
      </c>
      <c r="H8" s="24">
        <f>ROUND(SUMIF(Определители!I6:I17,"= ",'Базовые цены с учетом расхода'!D6:D17),2)</f>
        <v>0</v>
      </c>
      <c r="I8" s="24">
        <f>ROUND(SUMIF(Определители!I6:I17,"= ",'Базовые цены с учетом расхода'!E6:E17),2)</f>
        <v>0</v>
      </c>
      <c r="J8" s="40">
        <f>ROUND(SUMIF(Определители!I6:I17,"= ",'Базовые цены с учетом расхода'!I6:I17),8)</f>
        <v>0</v>
      </c>
      <c r="K8" s="40">
        <f>ROUND(SUMIF(Определители!I6:I17,"= ",'Базовые цены с учетом расхода'!K6:K17),8)</f>
        <v>0</v>
      </c>
      <c r="L8" s="24">
        <f>ROUND(SUMIF(Определители!I6:I17,"= ",'Базовые цены с учетом расхода'!F6:F17),2)</f>
        <v>0</v>
      </c>
      <c r="N8" s="34" t="s">
        <v>217</v>
      </c>
    </row>
    <row r="9" spans="1:14" ht="10.5">
      <c r="A9" s="30">
        <v>3</v>
      </c>
      <c r="B9" s="39" t="s">
        <v>70</v>
      </c>
      <c r="C9" s="34" t="s">
        <v>232</v>
      </c>
      <c r="D9" s="37">
        <v>0</v>
      </c>
      <c r="F9" s="24">
        <f>ROUND(СУММПРОИЗВЕСЛИ(0.01,Определители!I6:I17," ",'Базовые цены с учетом расхода'!B6:B17,Начисления!X6:X17,0),2)</f>
        <v>0</v>
      </c>
      <c r="G9" s="24"/>
      <c r="H9" s="24"/>
      <c r="I9" s="24"/>
      <c r="J9" s="40"/>
      <c r="K9" s="40"/>
      <c r="L9" s="24"/>
      <c r="N9" s="34" t="s">
        <v>218</v>
      </c>
    </row>
    <row r="10" spans="1:14" ht="10.5">
      <c r="A10" s="30">
        <v>4</v>
      </c>
      <c r="B10" s="39" t="s">
        <v>71</v>
      </c>
      <c r="C10" s="34" t="s">
        <v>232</v>
      </c>
      <c r="D10" s="37">
        <v>0</v>
      </c>
      <c r="F10" s="24">
        <f>ROUND(СУММПРОИЗВЕСЛИ(0.01,Определители!I6:I17," ",'Базовые цены с учетом расхода'!B6:B17,Начисления!Y6:Y17,0),2)</f>
        <v>0</v>
      </c>
      <c r="G10" s="24"/>
      <c r="H10" s="24"/>
      <c r="I10" s="24"/>
      <c r="J10" s="40"/>
      <c r="K10" s="40"/>
      <c r="L10" s="24"/>
      <c r="N10" s="34" t="s">
        <v>233</v>
      </c>
    </row>
    <row r="11" spans="1:14" ht="10.5">
      <c r="A11" s="30">
        <v>5</v>
      </c>
      <c r="B11" s="39" t="s">
        <v>72</v>
      </c>
      <c r="C11" s="34" t="s">
        <v>232</v>
      </c>
      <c r="D11" s="37">
        <v>0</v>
      </c>
      <c r="F11" s="24">
        <f>ROUND(ТРАНСПРАСХОД(Определители!B6:B17,Определители!H6:H17,Определители!I6:I17,'Базовые цены с учетом расхода'!B6:B17,Начисления!Z6:Z17,Начисления!AA6:AA17),2)</f>
        <v>0</v>
      </c>
      <c r="G11" s="24"/>
      <c r="H11" s="24"/>
      <c r="I11" s="24"/>
      <c r="J11" s="40"/>
      <c r="K11" s="40"/>
      <c r="L11" s="24"/>
      <c r="N11" s="34" t="s">
        <v>234</v>
      </c>
    </row>
    <row r="12" spans="1:14" ht="10.5">
      <c r="A12" s="30">
        <v>6</v>
      </c>
      <c r="B12" s="39" t="s">
        <v>73</v>
      </c>
      <c r="C12" s="34" t="s">
        <v>232</v>
      </c>
      <c r="D12" s="37">
        <v>0</v>
      </c>
      <c r="F12" s="24">
        <f>ROUND(СУММПРОИЗВЕСЛИ(0.01,Определители!I6:I17," ",'Базовые цены с учетом расхода'!B6:B17,Начисления!AC6:AC17,0),2)</f>
        <v>0</v>
      </c>
      <c r="G12" s="24"/>
      <c r="H12" s="24"/>
      <c r="I12" s="24"/>
      <c r="J12" s="40"/>
      <c r="K12" s="40"/>
      <c r="L12" s="24"/>
      <c r="N12" s="34" t="s">
        <v>235</v>
      </c>
    </row>
    <row r="13" spans="1:14" ht="10.5">
      <c r="A13" s="30">
        <v>7</v>
      </c>
      <c r="B13" s="39" t="s">
        <v>74</v>
      </c>
      <c r="C13" s="34" t="s">
        <v>232</v>
      </c>
      <c r="D13" s="37">
        <v>0</v>
      </c>
      <c r="F13" s="24">
        <f>ROUND(СУММПРОИЗВЕСЛИ(0.01,Определители!I6:I17," ",'Базовые цены с учетом расхода'!B6:B17,Начисления!AF6:AF17,0),2)</f>
        <v>0</v>
      </c>
      <c r="G13" s="24"/>
      <c r="H13" s="24"/>
      <c r="I13" s="24"/>
      <c r="J13" s="40"/>
      <c r="K13" s="40"/>
      <c r="L13" s="24"/>
      <c r="N13" s="34" t="s">
        <v>236</v>
      </c>
    </row>
    <row r="14" spans="1:14" ht="10.5">
      <c r="A14" s="30">
        <v>8</v>
      </c>
      <c r="B14" s="39" t="s">
        <v>75</v>
      </c>
      <c r="C14" s="34" t="s">
        <v>232</v>
      </c>
      <c r="D14" s="37">
        <v>0</v>
      </c>
      <c r="F14" s="24">
        <f>ROUND(ЗАГОТСКЛАДРАСХОД(Определители!B6:B17,Определители!H6:H17,Определители!I6:I17,'Базовые цены с учетом расхода'!B6:B17,Начисления!X6:X17,Начисления!Y6:Y17,Начисления!Z6:Z17,Начисления!AA6:AA17,Начисления!AB6:AB17,Начисления!AC6:AC17,Начисления!AF6:AF17),2)</f>
        <v>0</v>
      </c>
      <c r="G14" s="24"/>
      <c r="H14" s="24"/>
      <c r="I14" s="24"/>
      <c r="J14" s="40"/>
      <c r="K14" s="40"/>
      <c r="L14" s="24"/>
      <c r="N14" s="34" t="s">
        <v>237</v>
      </c>
    </row>
    <row r="15" spans="1:14" ht="10.5">
      <c r="A15" s="30">
        <v>9</v>
      </c>
      <c r="B15" s="39" t="s">
        <v>76</v>
      </c>
      <c r="C15" s="34" t="s">
        <v>232</v>
      </c>
      <c r="D15" s="37">
        <v>0</v>
      </c>
      <c r="F15" s="24">
        <f>ROUND(СУММПРОИЗВЕСЛИ(1,Определители!I6:I17," ",'Базовые цены с учетом расхода'!M6:M17,Начисления!I6:I17,0),2)</f>
        <v>0</v>
      </c>
      <c r="G15" s="24"/>
      <c r="H15" s="24"/>
      <c r="I15" s="24"/>
      <c r="J15" s="40"/>
      <c r="K15" s="40"/>
      <c r="L15" s="24"/>
      <c r="N15" s="34" t="s">
        <v>238</v>
      </c>
    </row>
    <row r="16" spans="1:14" ht="10.5">
      <c r="A16" s="30">
        <v>10</v>
      </c>
      <c r="B16" s="39" t="s">
        <v>77</v>
      </c>
      <c r="C16" s="34" t="s">
        <v>239</v>
      </c>
      <c r="D16" s="37">
        <v>0</v>
      </c>
      <c r="F16" s="24">
        <f>ROUND((F15+F26+F46),2)</f>
        <v>0</v>
      </c>
      <c r="G16" s="24"/>
      <c r="H16" s="24"/>
      <c r="I16" s="24"/>
      <c r="J16" s="40"/>
      <c r="K16" s="40"/>
      <c r="L16" s="24"/>
      <c r="N16" s="34" t="s">
        <v>240</v>
      </c>
    </row>
    <row r="17" spans="1:14" ht="10.5">
      <c r="A17" s="30">
        <v>11</v>
      </c>
      <c r="B17" s="39" t="s">
        <v>78</v>
      </c>
      <c r="C17" s="34" t="s">
        <v>239</v>
      </c>
      <c r="D17" s="37">
        <v>0</v>
      </c>
      <c r="F17" s="24">
        <f>ROUND((F8+F9+F10+F11+F12+F13+F14+F16),2)</f>
        <v>0</v>
      </c>
      <c r="G17" s="24"/>
      <c r="H17" s="24"/>
      <c r="I17" s="24"/>
      <c r="J17" s="40"/>
      <c r="K17" s="40"/>
      <c r="L17" s="24"/>
      <c r="N17" s="34" t="s">
        <v>241</v>
      </c>
    </row>
    <row r="18" spans="1:14" ht="10.5">
      <c r="A18" s="30">
        <v>12</v>
      </c>
      <c r="B18" s="39" t="s">
        <v>79</v>
      </c>
      <c r="C18" s="34" t="s">
        <v>232</v>
      </c>
      <c r="D18" s="37">
        <v>0</v>
      </c>
      <c r="F18" s="24">
        <f>ROUND(SUMIF(Определители!I6:I17,"=1",'Базовые цены с учетом расхода'!B6:B17),2)</f>
        <v>0</v>
      </c>
      <c r="G18" s="24">
        <f>ROUND(SUMIF(Определители!I6:I17,"=1",'Базовые цены с учетом расхода'!C6:C17),2)</f>
        <v>0</v>
      </c>
      <c r="H18" s="24">
        <f>ROUND(SUMIF(Определители!I6:I17,"=1",'Базовые цены с учетом расхода'!D6:D17),2)</f>
        <v>0</v>
      </c>
      <c r="I18" s="24">
        <f>ROUND(SUMIF(Определители!I6:I17,"=1",'Базовые цены с учетом расхода'!E6:E17),2)</f>
        <v>0</v>
      </c>
      <c r="J18" s="40">
        <f>ROUND(SUMIF(Определители!I6:I17,"=1",'Базовые цены с учетом расхода'!I6:I17),8)</f>
        <v>0</v>
      </c>
      <c r="K18" s="40">
        <f>ROUND(SUMIF(Определители!I6:I17,"=1",'Базовые цены с учетом расхода'!K6:K17),8)</f>
        <v>0</v>
      </c>
      <c r="L18" s="24">
        <f>ROUND(SUMIF(Определители!I6:I17,"=1",'Базовые цены с учетом расхода'!F6:F17),2)</f>
        <v>0</v>
      </c>
      <c r="N18" s="34" t="s">
        <v>242</v>
      </c>
    </row>
    <row r="19" spans="1:14" ht="10.5">
      <c r="A19" s="30">
        <v>13</v>
      </c>
      <c r="B19" s="39" t="s">
        <v>80</v>
      </c>
      <c r="C19" s="34" t="s">
        <v>232</v>
      </c>
      <c r="D19" s="37">
        <v>0</v>
      </c>
      <c r="F19" s="24"/>
      <c r="G19" s="24"/>
      <c r="H19" s="24"/>
      <c r="I19" s="24"/>
      <c r="J19" s="40"/>
      <c r="K19" s="40"/>
      <c r="L19" s="24"/>
      <c r="N19" s="34" t="s">
        <v>243</v>
      </c>
    </row>
    <row r="20" spans="1:14" ht="10.5">
      <c r="A20" s="30">
        <v>14</v>
      </c>
      <c r="B20" s="39" t="s">
        <v>81</v>
      </c>
      <c r="C20" s="34" t="s">
        <v>232</v>
      </c>
      <c r="D20" s="37">
        <v>0</v>
      </c>
      <c r="F20" s="24"/>
      <c r="G20" s="24">
        <f>ROUND(SUMIF(Определители!I6:I17,"=1",'Базовые цены с учетом расхода'!U6:U17),2)</f>
        <v>0</v>
      </c>
      <c r="H20" s="24"/>
      <c r="I20" s="24"/>
      <c r="J20" s="40"/>
      <c r="K20" s="40"/>
      <c r="L20" s="24"/>
      <c r="N20" s="34" t="s">
        <v>244</v>
      </c>
    </row>
    <row r="21" spans="1:14" ht="10.5">
      <c r="A21" s="30">
        <v>15</v>
      </c>
      <c r="B21" s="39" t="s">
        <v>82</v>
      </c>
      <c r="C21" s="34" t="s">
        <v>232</v>
      </c>
      <c r="D21" s="37">
        <v>0</v>
      </c>
      <c r="F21" s="24">
        <f>ROUND(SUMIF(Определители!I6:I17,"=1",'Базовые цены с учетом расхода'!V6:V17),2)</f>
        <v>0</v>
      </c>
      <c r="G21" s="24"/>
      <c r="H21" s="24"/>
      <c r="I21" s="24"/>
      <c r="J21" s="40"/>
      <c r="K21" s="40"/>
      <c r="L21" s="24"/>
      <c r="N21" s="34" t="s">
        <v>245</v>
      </c>
    </row>
    <row r="22" spans="1:14" ht="10.5">
      <c r="A22" s="30">
        <v>16</v>
      </c>
      <c r="B22" s="39" t="s">
        <v>83</v>
      </c>
      <c r="C22" s="34" t="s">
        <v>232</v>
      </c>
      <c r="D22" s="37">
        <v>0</v>
      </c>
      <c r="F22" s="24">
        <f>ROUND(СУММЕСЛИ2(Определители!I6:I17,"1",Определители!G6:G17,"1",'Базовые цены с учетом расхода'!B6:B17),2)</f>
        <v>0</v>
      </c>
      <c r="G22" s="24"/>
      <c r="H22" s="24"/>
      <c r="I22" s="24"/>
      <c r="J22" s="40"/>
      <c r="K22" s="40"/>
      <c r="L22" s="24"/>
      <c r="N22" s="34" t="s">
        <v>246</v>
      </c>
    </row>
    <row r="23" spans="1:14" ht="10.5">
      <c r="A23" s="30">
        <v>17</v>
      </c>
      <c r="B23" s="39" t="s">
        <v>84</v>
      </c>
      <c r="C23" s="34" t="s">
        <v>232</v>
      </c>
      <c r="D23" s="37">
        <v>0</v>
      </c>
      <c r="F23" s="24">
        <f>ROUND(SUMIF(Определители!I6:I17,"=1",'Базовые цены с учетом расхода'!H6:H17),2)</f>
        <v>0</v>
      </c>
      <c r="G23" s="24"/>
      <c r="H23" s="24"/>
      <c r="I23" s="24"/>
      <c r="J23" s="40"/>
      <c r="K23" s="40"/>
      <c r="L23" s="24"/>
      <c r="N23" s="34" t="s">
        <v>247</v>
      </c>
    </row>
    <row r="24" spans="1:14" ht="10.5">
      <c r="A24" s="30">
        <v>18</v>
      </c>
      <c r="B24" s="39" t="s">
        <v>85</v>
      </c>
      <c r="C24" s="34" t="s">
        <v>232</v>
      </c>
      <c r="D24" s="37">
        <v>0</v>
      </c>
      <c r="F24" s="24">
        <f>ROUND(SUMIF(Определители!I6:I17,"=1",'Базовые цены с учетом расхода'!N6:N17),2)</f>
        <v>0</v>
      </c>
      <c r="G24" s="24"/>
      <c r="H24" s="24"/>
      <c r="I24" s="24"/>
      <c r="J24" s="40"/>
      <c r="K24" s="40"/>
      <c r="L24" s="24"/>
      <c r="N24" s="34" t="s">
        <v>248</v>
      </c>
    </row>
    <row r="25" spans="1:14" ht="10.5">
      <c r="A25" s="30">
        <v>19</v>
      </c>
      <c r="B25" s="39" t="s">
        <v>86</v>
      </c>
      <c r="C25" s="34" t="s">
        <v>232</v>
      </c>
      <c r="D25" s="37">
        <v>0</v>
      </c>
      <c r="F25" s="24">
        <f>ROUND(SUMIF(Определители!I6:I17,"=1",'Базовые цены с учетом расхода'!O6:O17),2)</f>
        <v>0</v>
      </c>
      <c r="G25" s="24"/>
      <c r="H25" s="24"/>
      <c r="I25" s="24"/>
      <c r="J25" s="40"/>
      <c r="K25" s="40"/>
      <c r="L25" s="24"/>
      <c r="N25" s="34" t="s">
        <v>249</v>
      </c>
    </row>
    <row r="26" spans="1:14" ht="10.5">
      <c r="A26" s="30">
        <v>20</v>
      </c>
      <c r="B26" s="39" t="s">
        <v>77</v>
      </c>
      <c r="C26" s="34" t="s">
        <v>232</v>
      </c>
      <c r="D26" s="37">
        <v>0</v>
      </c>
      <c r="F26" s="24">
        <f>ROUND(СУММПРОИЗВЕСЛИ(1,Определители!I6:I17," ",'Базовые цены с учетом расхода'!M6:M17,Начисления!I6:I17,0),2)</f>
        <v>0</v>
      </c>
      <c r="G26" s="24"/>
      <c r="H26" s="24"/>
      <c r="I26" s="24"/>
      <c r="J26" s="40"/>
      <c r="K26" s="40"/>
      <c r="L26" s="24"/>
      <c r="N26" s="34" t="s">
        <v>250</v>
      </c>
    </row>
    <row r="27" spans="1:14" ht="10.5">
      <c r="A27" s="30">
        <v>21</v>
      </c>
      <c r="B27" s="39" t="s">
        <v>87</v>
      </c>
      <c r="C27" s="34" t="s">
        <v>239</v>
      </c>
      <c r="D27" s="37">
        <v>0</v>
      </c>
      <c r="F27" s="24">
        <f>ROUND((F18+F24+F25),2)</f>
        <v>0</v>
      </c>
      <c r="G27" s="24"/>
      <c r="H27" s="24"/>
      <c r="I27" s="24"/>
      <c r="J27" s="40"/>
      <c r="K27" s="40"/>
      <c r="L27" s="24"/>
      <c r="N27" s="34" t="s">
        <v>251</v>
      </c>
    </row>
    <row r="28" spans="1:14" ht="10.5">
      <c r="A28" s="30">
        <v>22</v>
      </c>
      <c r="B28" s="39" t="s">
        <v>88</v>
      </c>
      <c r="C28" s="34" t="s">
        <v>232</v>
      </c>
      <c r="D28" s="37">
        <v>0</v>
      </c>
      <c r="F28" s="24">
        <f>ROUND(SUMIF(Определители!I6:I17,"=2",'Базовые цены с учетом расхода'!B6:B17),2)</f>
        <v>330674.21</v>
      </c>
      <c r="G28" s="24">
        <f>ROUND(SUMIF(Определители!I6:I17,"=2",'Базовые цены с учетом расхода'!C6:C17),2)</f>
        <v>12884.25</v>
      </c>
      <c r="H28" s="24">
        <f>ROUND(SUMIF(Определители!I6:I17,"=2",'Базовые цены с учетом расхода'!D6:D17),2)</f>
        <v>1107.49</v>
      </c>
      <c r="I28" s="24">
        <f>ROUND(SUMIF(Определители!I6:I17,"=2",'Базовые цены с учетом расхода'!E6:E17),2)</f>
        <v>191.06</v>
      </c>
      <c r="J28" s="40">
        <f>ROUND(SUMIF(Определители!I6:I17,"=2",'Базовые цены с учетом расхода'!I6:I17),8)</f>
        <v>1106.8101917</v>
      </c>
      <c r="K28" s="40">
        <f>ROUND(SUMIF(Определители!I6:I17,"=2",'Базовые цены с учетом расхода'!K6:K17),8)</f>
        <v>16.5352375</v>
      </c>
      <c r="L28" s="24">
        <f>ROUND(SUMIF(Определители!I6:I17,"=2",'Базовые цены с учетом расхода'!F6:F17),2)</f>
        <v>316682.47</v>
      </c>
      <c r="N28" s="34" t="s">
        <v>252</v>
      </c>
    </row>
    <row r="29" spans="1:14" ht="10.5">
      <c r="A29" s="30">
        <v>23</v>
      </c>
      <c r="B29" s="39" t="s">
        <v>80</v>
      </c>
      <c r="C29" s="34" t="s">
        <v>232</v>
      </c>
      <c r="D29" s="37">
        <v>0</v>
      </c>
      <c r="F29" s="24"/>
      <c r="G29" s="24"/>
      <c r="H29" s="24"/>
      <c r="I29" s="24"/>
      <c r="J29" s="40"/>
      <c r="K29" s="40"/>
      <c r="L29" s="24"/>
      <c r="N29" s="34" t="s">
        <v>253</v>
      </c>
    </row>
    <row r="30" spans="1:14" ht="10.5">
      <c r="A30" s="30">
        <v>24</v>
      </c>
      <c r="B30" s="39" t="s">
        <v>89</v>
      </c>
      <c r="C30" s="34" t="s">
        <v>232</v>
      </c>
      <c r="D30" s="37">
        <v>0</v>
      </c>
      <c r="F30" s="24">
        <f>ROUND(SUMIF(Определители!G6:G17,"=1",'Базовые цены с учетом расхода'!F6:F17),2)</f>
        <v>1006.38</v>
      </c>
      <c r="G30" s="24"/>
      <c r="H30" s="24"/>
      <c r="I30" s="24"/>
      <c r="J30" s="40"/>
      <c r="K30" s="40"/>
      <c r="L30" s="24"/>
      <c r="N30" s="34" t="s">
        <v>254</v>
      </c>
    </row>
    <row r="31" spans="1:14" ht="10.5">
      <c r="A31" s="30">
        <v>25</v>
      </c>
      <c r="B31" s="39" t="s">
        <v>84</v>
      </c>
      <c r="C31" s="34" t="s">
        <v>232</v>
      </c>
      <c r="D31" s="37">
        <v>0</v>
      </c>
      <c r="F31" s="24">
        <f>ROUND(SUMIF(Определители!I6:I17,"=2",'Базовые цены с учетом расхода'!H6:H17),2)</f>
        <v>0</v>
      </c>
      <c r="G31" s="24"/>
      <c r="H31" s="24"/>
      <c r="I31" s="24"/>
      <c r="J31" s="40"/>
      <c r="K31" s="40"/>
      <c r="L31" s="24"/>
      <c r="N31" s="34" t="s">
        <v>255</v>
      </c>
    </row>
    <row r="32" spans="1:14" ht="10.5">
      <c r="A32" s="30">
        <v>26</v>
      </c>
      <c r="B32" s="39" t="s">
        <v>85</v>
      </c>
      <c r="C32" s="34" t="s">
        <v>232</v>
      </c>
      <c r="D32" s="37">
        <v>0</v>
      </c>
      <c r="F32" s="24">
        <f>ROUND(SUMIF(Определители!I6:I17,"=2",'Базовые цены с учетом расхода'!N6:N17),2)</f>
        <v>13292.77</v>
      </c>
      <c r="G32" s="24"/>
      <c r="H32" s="24"/>
      <c r="I32" s="24"/>
      <c r="J32" s="40"/>
      <c r="K32" s="40"/>
      <c r="L32" s="24"/>
      <c r="N32" s="34" t="s">
        <v>256</v>
      </c>
    </row>
    <row r="33" spans="1:14" ht="10.5">
      <c r="A33" s="30">
        <v>27</v>
      </c>
      <c r="B33" s="39" t="s">
        <v>86</v>
      </c>
      <c r="C33" s="34" t="s">
        <v>232</v>
      </c>
      <c r="D33" s="37">
        <v>0</v>
      </c>
      <c r="F33" s="24">
        <f>ROUND(SUMIF(Определители!I6:I17,"=2",'Базовые цены с учетом расхода'!O6:O17),2)</f>
        <v>7712.8</v>
      </c>
      <c r="G33" s="24"/>
      <c r="H33" s="24"/>
      <c r="I33" s="24"/>
      <c r="J33" s="40"/>
      <c r="K33" s="40"/>
      <c r="L33" s="24"/>
      <c r="N33" s="34" t="s">
        <v>257</v>
      </c>
    </row>
    <row r="34" spans="1:14" ht="10.5">
      <c r="A34" s="30">
        <v>28</v>
      </c>
      <c r="B34" s="39" t="s">
        <v>92</v>
      </c>
      <c r="C34" s="34" t="s">
        <v>239</v>
      </c>
      <c r="D34" s="37">
        <v>0</v>
      </c>
      <c r="F34" s="24">
        <f>ROUND((F28+F32+F33),2)</f>
        <v>351679.78</v>
      </c>
      <c r="G34" s="24"/>
      <c r="H34" s="24"/>
      <c r="I34" s="24"/>
      <c r="J34" s="40"/>
      <c r="K34" s="40"/>
      <c r="L34" s="24"/>
      <c r="N34" s="34" t="s">
        <v>258</v>
      </c>
    </row>
    <row r="35" spans="1:14" ht="10.5">
      <c r="A35" s="30">
        <v>29</v>
      </c>
      <c r="B35" s="39" t="s">
        <v>93</v>
      </c>
      <c r="C35" s="34" t="s">
        <v>232</v>
      </c>
      <c r="D35" s="37">
        <v>0</v>
      </c>
      <c r="F35" s="24">
        <f>ROUND(SUMIF(Определители!I6:I17,"=3",'Базовые цены с учетом расхода'!B6:B17),2)</f>
        <v>1092.27</v>
      </c>
      <c r="G35" s="24">
        <f>ROUND(SUMIF(Определители!I6:I17,"=3",'Базовые цены с учетом расхода'!C6:C17),2)</f>
        <v>79.36</v>
      </c>
      <c r="H35" s="24">
        <f>ROUND(SUMIF(Определители!I6:I17,"=3",'Базовые цены с учетом расхода'!D6:D17),2)</f>
        <v>12.53</v>
      </c>
      <c r="I35" s="24">
        <f>ROUND(SUMIF(Определители!I6:I17,"=3",'Базовые цены с учетом расхода'!E6:E17),2)</f>
        <v>0.68</v>
      </c>
      <c r="J35" s="40">
        <f>ROUND(SUMIF(Определители!I6:I17,"=3",'Базовые цены с учетом расхода'!I6:I17),8)</f>
        <v>7.36202</v>
      </c>
      <c r="K35" s="40">
        <f>ROUND(SUMIF(Определители!I6:I17,"=3",'Базовые цены с учетом расхода'!K6:K17),8)</f>
        <v>0.04165</v>
      </c>
      <c r="L35" s="24">
        <f>ROUND(SUMIF(Определители!I6:I17,"=3",'Базовые цены с учетом расхода'!F6:F17),2)</f>
        <v>1000.38</v>
      </c>
      <c r="N35" s="34" t="s">
        <v>259</v>
      </c>
    </row>
    <row r="36" spans="1:14" ht="10.5">
      <c r="A36" s="30">
        <v>30</v>
      </c>
      <c r="B36" s="39" t="s">
        <v>84</v>
      </c>
      <c r="C36" s="34" t="s">
        <v>232</v>
      </c>
      <c r="D36" s="37">
        <v>0</v>
      </c>
      <c r="F36" s="24">
        <f>ROUND(SUMIF(Определители!I6:I17,"=3",'Базовые цены с учетом расхода'!H6:H17),2)</f>
        <v>0</v>
      </c>
      <c r="G36" s="24"/>
      <c r="H36" s="24"/>
      <c r="I36" s="24"/>
      <c r="J36" s="40"/>
      <c r="K36" s="40"/>
      <c r="L36" s="24"/>
      <c r="N36" s="34" t="s">
        <v>260</v>
      </c>
    </row>
    <row r="37" spans="1:14" ht="10.5">
      <c r="A37" s="30">
        <v>31</v>
      </c>
      <c r="B37" s="39" t="s">
        <v>85</v>
      </c>
      <c r="C37" s="34" t="s">
        <v>232</v>
      </c>
      <c r="D37" s="37">
        <v>0</v>
      </c>
      <c r="F37" s="24">
        <f>ROUND(SUMIF(Определители!I6:I17,"=3",'Базовые цены с учетом расхода'!N6:N17),2)</f>
        <v>64.83</v>
      </c>
      <c r="G37" s="24"/>
      <c r="H37" s="24"/>
      <c r="I37" s="24"/>
      <c r="J37" s="40"/>
      <c r="K37" s="40"/>
      <c r="L37" s="24"/>
      <c r="N37" s="34" t="s">
        <v>261</v>
      </c>
    </row>
    <row r="38" spans="1:14" ht="10.5">
      <c r="A38" s="30">
        <v>32</v>
      </c>
      <c r="B38" s="39" t="s">
        <v>86</v>
      </c>
      <c r="C38" s="34" t="s">
        <v>232</v>
      </c>
      <c r="D38" s="37">
        <v>0</v>
      </c>
      <c r="F38" s="24">
        <f>ROUND(SUMIF(Определители!I6:I17,"=3",'Базовые цены с учетом расхода'!O6:O17),2)</f>
        <v>57.63</v>
      </c>
      <c r="G38" s="24"/>
      <c r="H38" s="24"/>
      <c r="I38" s="24"/>
      <c r="J38" s="40"/>
      <c r="K38" s="40"/>
      <c r="L38" s="24"/>
      <c r="N38" s="34" t="s">
        <v>262</v>
      </c>
    </row>
    <row r="39" spans="1:14" ht="10.5">
      <c r="A39" s="30">
        <v>33</v>
      </c>
      <c r="B39" s="39" t="s">
        <v>96</v>
      </c>
      <c r="C39" s="34" t="s">
        <v>239</v>
      </c>
      <c r="D39" s="37">
        <v>0</v>
      </c>
      <c r="F39" s="24">
        <f>ROUND((F35+F37+F38),2)</f>
        <v>1214.73</v>
      </c>
      <c r="G39" s="24"/>
      <c r="H39" s="24"/>
      <c r="I39" s="24"/>
      <c r="J39" s="40"/>
      <c r="K39" s="40"/>
      <c r="L39" s="24"/>
      <c r="N39" s="34" t="s">
        <v>263</v>
      </c>
    </row>
    <row r="40" spans="1:14" ht="10.5">
      <c r="A40" s="30">
        <v>34</v>
      </c>
      <c r="B40" s="39" t="s">
        <v>97</v>
      </c>
      <c r="C40" s="34" t="s">
        <v>232</v>
      </c>
      <c r="D40" s="37">
        <v>0</v>
      </c>
      <c r="F40" s="24">
        <f>ROUND(SUMIF(Определители!I6:I17,"=4",'Базовые цены с учетом расхода'!B6:B17),2)</f>
        <v>0</v>
      </c>
      <c r="G40" s="24">
        <f>ROUND(SUMIF(Определители!I6:I17,"=4",'Базовые цены с учетом расхода'!C6:C17),2)</f>
        <v>0</v>
      </c>
      <c r="H40" s="24">
        <f>ROUND(SUMIF(Определители!I6:I17,"=4",'Базовые цены с учетом расхода'!D6:D17),2)</f>
        <v>0</v>
      </c>
      <c r="I40" s="24">
        <f>ROUND(SUMIF(Определители!I6:I17,"=4",'Базовые цены с учетом расхода'!E6:E17),2)</f>
        <v>0</v>
      </c>
      <c r="J40" s="40">
        <f>ROUND(SUMIF(Определители!I6:I17,"=4",'Базовые цены с учетом расхода'!I6:I17),8)</f>
        <v>0</v>
      </c>
      <c r="K40" s="40">
        <f>ROUND(SUMIF(Определители!I6:I17,"=4",'Базовые цены с учетом расхода'!K6:K17),8)</f>
        <v>0</v>
      </c>
      <c r="L40" s="24">
        <f>ROUND(SUMIF(Определители!I6:I17,"=4",'Базовые цены с учетом расхода'!F6:F17),2)</f>
        <v>0</v>
      </c>
      <c r="N40" s="34" t="s">
        <v>264</v>
      </c>
    </row>
    <row r="41" spans="1:14" ht="10.5">
      <c r="A41" s="30">
        <v>35</v>
      </c>
      <c r="B41" s="39" t="s">
        <v>80</v>
      </c>
      <c r="C41" s="34" t="s">
        <v>232</v>
      </c>
      <c r="D41" s="37">
        <v>0</v>
      </c>
      <c r="F41" s="24"/>
      <c r="G41" s="24"/>
      <c r="H41" s="24"/>
      <c r="I41" s="24"/>
      <c r="J41" s="40"/>
      <c r="K41" s="40"/>
      <c r="L41" s="24"/>
      <c r="N41" s="34" t="s">
        <v>265</v>
      </c>
    </row>
    <row r="42" spans="1:14" ht="10.5">
      <c r="A42" s="30">
        <v>36</v>
      </c>
      <c r="B42" s="39" t="s">
        <v>98</v>
      </c>
      <c r="C42" s="34" t="s">
        <v>232</v>
      </c>
      <c r="D42" s="37">
        <v>0</v>
      </c>
      <c r="F42" s="24"/>
      <c r="G42" s="24"/>
      <c r="H42" s="24"/>
      <c r="I42" s="24"/>
      <c r="J42" s="40"/>
      <c r="K42" s="40"/>
      <c r="L42" s="24"/>
      <c r="N42" s="34" t="s">
        <v>266</v>
      </c>
    </row>
    <row r="43" spans="1:14" ht="10.5">
      <c r="A43" s="30">
        <v>37</v>
      </c>
      <c r="B43" s="39" t="s">
        <v>84</v>
      </c>
      <c r="C43" s="34" t="s">
        <v>232</v>
      </c>
      <c r="D43" s="37">
        <v>0</v>
      </c>
      <c r="F43" s="24">
        <f>ROUND(SUMIF(Определители!I6:I17,"=4",'Базовые цены с учетом расхода'!H6:H17),2)</f>
        <v>0</v>
      </c>
      <c r="G43" s="24"/>
      <c r="H43" s="24"/>
      <c r="I43" s="24"/>
      <c r="J43" s="40"/>
      <c r="K43" s="40"/>
      <c r="L43" s="24"/>
      <c r="N43" s="34" t="s">
        <v>267</v>
      </c>
    </row>
    <row r="44" spans="1:14" ht="10.5">
      <c r="A44" s="30">
        <v>38</v>
      </c>
      <c r="B44" s="39" t="s">
        <v>85</v>
      </c>
      <c r="C44" s="34" t="s">
        <v>232</v>
      </c>
      <c r="D44" s="37">
        <v>0</v>
      </c>
      <c r="F44" s="24">
        <f>ROUND(SUMIF(Определители!I6:I17,"=4",'Базовые цены с учетом расхода'!N6:N17),2)</f>
        <v>0</v>
      </c>
      <c r="G44" s="24"/>
      <c r="H44" s="24"/>
      <c r="I44" s="24"/>
      <c r="J44" s="40"/>
      <c r="K44" s="40"/>
      <c r="L44" s="24"/>
      <c r="N44" s="34" t="s">
        <v>268</v>
      </c>
    </row>
    <row r="45" spans="1:14" ht="10.5">
      <c r="A45" s="30">
        <v>39</v>
      </c>
      <c r="B45" s="39" t="s">
        <v>86</v>
      </c>
      <c r="C45" s="34" t="s">
        <v>232</v>
      </c>
      <c r="D45" s="37">
        <v>0</v>
      </c>
      <c r="F45" s="24">
        <f>ROUND(SUMIF(Определители!I6:I17,"=4",'Базовые цены с учетом расхода'!O6:O17),2)</f>
        <v>0</v>
      </c>
      <c r="G45" s="24"/>
      <c r="H45" s="24"/>
      <c r="I45" s="24"/>
      <c r="J45" s="40"/>
      <c r="K45" s="40"/>
      <c r="L45" s="24"/>
      <c r="N45" s="34" t="s">
        <v>269</v>
      </c>
    </row>
    <row r="46" spans="1:14" ht="10.5">
      <c r="A46" s="30">
        <v>40</v>
      </c>
      <c r="B46" s="39" t="s">
        <v>77</v>
      </c>
      <c r="C46" s="34" t="s">
        <v>232</v>
      </c>
      <c r="D46" s="37">
        <v>0</v>
      </c>
      <c r="F46" s="24">
        <f>ROUND(СУММПРОИЗВЕСЛИ(1,Определители!I6:I17," ",'Базовые цены с учетом расхода'!M6:M17,Начисления!I6:I17,0),2)</f>
        <v>0</v>
      </c>
      <c r="G46" s="24"/>
      <c r="H46" s="24"/>
      <c r="I46" s="24"/>
      <c r="J46" s="40"/>
      <c r="K46" s="40"/>
      <c r="L46" s="24"/>
      <c r="N46" s="34" t="s">
        <v>270</v>
      </c>
    </row>
    <row r="47" spans="1:14" ht="10.5">
      <c r="A47" s="30">
        <v>41</v>
      </c>
      <c r="B47" s="39" t="s">
        <v>99</v>
      </c>
      <c r="C47" s="34" t="s">
        <v>239</v>
      </c>
      <c r="D47" s="37">
        <v>0</v>
      </c>
      <c r="F47" s="24">
        <f>ROUND((F40+F44+F45),2)</f>
        <v>0</v>
      </c>
      <c r="G47" s="24"/>
      <c r="H47" s="24"/>
      <c r="I47" s="24"/>
      <c r="J47" s="40"/>
      <c r="K47" s="40"/>
      <c r="L47" s="24"/>
      <c r="N47" s="34" t="s">
        <v>271</v>
      </c>
    </row>
    <row r="48" spans="1:14" ht="10.5">
      <c r="A48" s="30">
        <v>42</v>
      </c>
      <c r="B48" s="39" t="s">
        <v>100</v>
      </c>
      <c r="C48" s="34" t="s">
        <v>232</v>
      </c>
      <c r="D48" s="37">
        <v>0</v>
      </c>
      <c r="F48" s="24">
        <f>ROUND(SUMIF(Определители!I6:I17,"=5",'Базовые цены с учетом расхода'!B6:B17),2)</f>
        <v>0</v>
      </c>
      <c r="G48" s="24">
        <f>ROUND(SUMIF(Определители!I6:I17,"=5",'Базовые цены с учетом расхода'!C6:C17),2)</f>
        <v>0</v>
      </c>
      <c r="H48" s="24">
        <f>ROUND(SUMIF(Определители!I6:I17,"=5",'Базовые цены с учетом расхода'!D6:D17),2)</f>
        <v>0</v>
      </c>
      <c r="I48" s="24">
        <f>ROUND(SUMIF(Определители!I6:I17,"=5",'Базовые цены с учетом расхода'!E6:E17),2)</f>
        <v>0</v>
      </c>
      <c r="J48" s="40">
        <f>ROUND(SUMIF(Определители!I6:I17,"=5",'Базовые цены с учетом расхода'!I6:I17),8)</f>
        <v>0</v>
      </c>
      <c r="K48" s="40">
        <f>ROUND(SUMIF(Определители!I6:I17,"=5",'Базовые цены с учетом расхода'!K6:K17),8)</f>
        <v>0</v>
      </c>
      <c r="L48" s="24">
        <f>ROUND(SUMIF(Определители!I6:I17,"=5",'Базовые цены с учетом расхода'!F6:F17),2)</f>
        <v>0</v>
      </c>
      <c r="N48" s="34" t="s">
        <v>272</v>
      </c>
    </row>
    <row r="49" spans="1:14" ht="10.5">
      <c r="A49" s="30">
        <v>43</v>
      </c>
      <c r="B49" s="39" t="s">
        <v>84</v>
      </c>
      <c r="C49" s="34" t="s">
        <v>232</v>
      </c>
      <c r="D49" s="37">
        <v>0</v>
      </c>
      <c r="F49" s="24">
        <f>ROUND(SUMIF(Определители!I6:I17,"=5",'Базовые цены с учетом расхода'!H6:H17),2)</f>
        <v>0</v>
      </c>
      <c r="G49" s="24"/>
      <c r="H49" s="24"/>
      <c r="I49" s="24"/>
      <c r="J49" s="40"/>
      <c r="K49" s="40"/>
      <c r="L49" s="24"/>
      <c r="N49" s="34" t="s">
        <v>273</v>
      </c>
    </row>
    <row r="50" spans="1:14" ht="10.5">
      <c r="A50" s="30">
        <v>44</v>
      </c>
      <c r="B50" s="39" t="s">
        <v>85</v>
      </c>
      <c r="C50" s="34" t="s">
        <v>232</v>
      </c>
      <c r="D50" s="37">
        <v>0</v>
      </c>
      <c r="F50" s="24">
        <f>ROUND(SUMIF(Определители!I6:I17,"=5",'Базовые цены с учетом расхода'!N6:N17),2)</f>
        <v>0</v>
      </c>
      <c r="G50" s="24"/>
      <c r="H50" s="24"/>
      <c r="I50" s="24"/>
      <c r="J50" s="40"/>
      <c r="K50" s="40"/>
      <c r="L50" s="24"/>
      <c r="N50" s="34" t="s">
        <v>274</v>
      </c>
    </row>
    <row r="51" spans="1:14" ht="10.5">
      <c r="A51" s="30">
        <v>45</v>
      </c>
      <c r="B51" s="39" t="s">
        <v>86</v>
      </c>
      <c r="C51" s="34" t="s">
        <v>232</v>
      </c>
      <c r="D51" s="37">
        <v>0</v>
      </c>
      <c r="F51" s="24">
        <f>ROUND(SUMIF(Определители!I6:I17,"=5",'Базовые цены с учетом расхода'!O6:O17),2)</f>
        <v>0</v>
      </c>
      <c r="G51" s="24"/>
      <c r="H51" s="24"/>
      <c r="I51" s="24"/>
      <c r="J51" s="40"/>
      <c r="K51" s="40"/>
      <c r="L51" s="24"/>
      <c r="N51" s="34" t="s">
        <v>275</v>
      </c>
    </row>
    <row r="52" spans="1:14" ht="10.5">
      <c r="A52" s="30">
        <v>46</v>
      </c>
      <c r="B52" s="39" t="s">
        <v>101</v>
      </c>
      <c r="C52" s="34" t="s">
        <v>239</v>
      </c>
      <c r="D52" s="37">
        <v>0</v>
      </c>
      <c r="F52" s="24">
        <f>ROUND((F48+F50+F51),2)</f>
        <v>0</v>
      </c>
      <c r="G52" s="24"/>
      <c r="H52" s="24"/>
      <c r="I52" s="24"/>
      <c r="J52" s="40"/>
      <c r="K52" s="40"/>
      <c r="L52" s="24"/>
      <c r="N52" s="34" t="s">
        <v>276</v>
      </c>
    </row>
    <row r="53" spans="1:14" ht="10.5">
      <c r="A53" s="30">
        <v>47</v>
      </c>
      <c r="B53" s="39" t="s">
        <v>102</v>
      </c>
      <c r="C53" s="34" t="s">
        <v>232</v>
      </c>
      <c r="D53" s="37">
        <v>0</v>
      </c>
      <c r="F53" s="24">
        <f>ROUND(SUMIF(Определители!I6:I17,"=6",'Базовые цены с учетом расхода'!B6:B17),2)</f>
        <v>0</v>
      </c>
      <c r="G53" s="24">
        <f>ROUND(SUMIF(Определители!I6:I17,"=6",'Базовые цены с учетом расхода'!C6:C17),2)</f>
        <v>0</v>
      </c>
      <c r="H53" s="24">
        <f>ROUND(SUMIF(Определители!I6:I17,"=6",'Базовые цены с учетом расхода'!D6:D17),2)</f>
        <v>0</v>
      </c>
      <c r="I53" s="24">
        <f>ROUND(SUMIF(Определители!I6:I17,"=6",'Базовые цены с учетом расхода'!E6:E17),2)</f>
        <v>0</v>
      </c>
      <c r="J53" s="40">
        <f>ROUND(SUMIF(Определители!I6:I17,"=6",'Базовые цены с учетом расхода'!I6:I17),8)</f>
        <v>0</v>
      </c>
      <c r="K53" s="40">
        <f>ROUND(SUMIF(Определители!I6:I17,"=6",'Базовые цены с учетом расхода'!K6:K17),8)</f>
        <v>0</v>
      </c>
      <c r="L53" s="24">
        <f>ROUND(SUMIF(Определители!I6:I17,"=6",'Базовые цены с учетом расхода'!F6:F17),2)</f>
        <v>0</v>
      </c>
      <c r="N53" s="34" t="s">
        <v>277</v>
      </c>
    </row>
    <row r="54" spans="1:14" ht="10.5">
      <c r="A54" s="30">
        <v>48</v>
      </c>
      <c r="B54" s="39" t="s">
        <v>84</v>
      </c>
      <c r="C54" s="34" t="s">
        <v>232</v>
      </c>
      <c r="D54" s="37">
        <v>0</v>
      </c>
      <c r="F54" s="24">
        <f>ROUND(SUMIF(Определители!I6:I17,"=6",'Базовые цены с учетом расхода'!H6:H17),2)</f>
        <v>0</v>
      </c>
      <c r="G54" s="24"/>
      <c r="H54" s="24"/>
      <c r="I54" s="24"/>
      <c r="J54" s="40"/>
      <c r="K54" s="40"/>
      <c r="L54" s="24"/>
      <c r="N54" s="34" t="s">
        <v>278</v>
      </c>
    </row>
    <row r="55" spans="1:14" ht="10.5">
      <c r="A55" s="30">
        <v>49</v>
      </c>
      <c r="B55" s="39" t="s">
        <v>85</v>
      </c>
      <c r="C55" s="34" t="s">
        <v>232</v>
      </c>
      <c r="D55" s="37">
        <v>0</v>
      </c>
      <c r="F55" s="24">
        <f>ROUND(SUMIF(Определители!I6:I17,"=6",'Базовые цены с учетом расхода'!N6:N17),2)</f>
        <v>0</v>
      </c>
      <c r="G55" s="24"/>
      <c r="H55" s="24"/>
      <c r="I55" s="24"/>
      <c r="J55" s="40"/>
      <c r="K55" s="40"/>
      <c r="L55" s="24"/>
      <c r="N55" s="34" t="s">
        <v>279</v>
      </c>
    </row>
    <row r="56" spans="1:14" ht="10.5">
      <c r="A56" s="30">
        <v>50</v>
      </c>
      <c r="B56" s="39" t="s">
        <v>86</v>
      </c>
      <c r="C56" s="34" t="s">
        <v>232</v>
      </c>
      <c r="D56" s="37">
        <v>0</v>
      </c>
      <c r="F56" s="24">
        <f>ROUND(SUMIF(Определители!I6:I17,"=6",'Базовые цены с учетом расхода'!O6:O17),2)</f>
        <v>0</v>
      </c>
      <c r="G56" s="24"/>
      <c r="H56" s="24"/>
      <c r="I56" s="24"/>
      <c r="J56" s="40"/>
      <c r="K56" s="40"/>
      <c r="L56" s="24"/>
      <c r="N56" s="34" t="s">
        <v>280</v>
      </c>
    </row>
    <row r="57" spans="1:14" ht="10.5">
      <c r="A57" s="30">
        <v>51</v>
      </c>
      <c r="B57" s="39" t="s">
        <v>103</v>
      </c>
      <c r="C57" s="34" t="s">
        <v>239</v>
      </c>
      <c r="D57" s="37">
        <v>0</v>
      </c>
      <c r="F57" s="24">
        <f>ROUND((F53+F55+F56),2)</f>
        <v>0</v>
      </c>
      <c r="G57" s="24"/>
      <c r="H57" s="24"/>
      <c r="I57" s="24"/>
      <c r="J57" s="40"/>
      <c r="K57" s="40"/>
      <c r="L57" s="24"/>
      <c r="N57" s="34" t="s">
        <v>281</v>
      </c>
    </row>
    <row r="58" spans="1:14" ht="10.5">
      <c r="A58" s="30">
        <v>52</v>
      </c>
      <c r="B58" s="39" t="s">
        <v>104</v>
      </c>
      <c r="C58" s="34" t="s">
        <v>232</v>
      </c>
      <c r="D58" s="37">
        <v>0</v>
      </c>
      <c r="F58" s="24">
        <f>ROUND(SUMIF(Определители!I6:I17,"=7",'Базовые цены с учетом расхода'!B6:B17),2)</f>
        <v>0</v>
      </c>
      <c r="G58" s="24">
        <f>ROUND(SUMIF(Определители!I6:I17,"=7",'Базовые цены с учетом расхода'!C6:C17),2)</f>
        <v>0</v>
      </c>
      <c r="H58" s="24">
        <f>ROUND(SUMIF(Определители!I6:I17,"=7",'Базовые цены с учетом расхода'!D6:D17),2)</f>
        <v>0</v>
      </c>
      <c r="I58" s="24">
        <f>ROUND(SUMIF(Определители!I6:I17,"=7",'Базовые цены с учетом расхода'!E6:E17),2)</f>
        <v>0</v>
      </c>
      <c r="J58" s="40">
        <f>ROUND(SUMIF(Определители!I6:I17,"=7",'Базовые цены с учетом расхода'!I6:I17),8)</f>
        <v>0</v>
      </c>
      <c r="K58" s="40">
        <f>ROUND(SUMIF(Определители!I6:I17,"=7",'Базовые цены с учетом расхода'!K6:K17),8)</f>
        <v>0</v>
      </c>
      <c r="L58" s="24">
        <f>ROUND(SUMIF(Определители!I6:I17,"=7",'Базовые цены с учетом расхода'!F6:F17),2)</f>
        <v>0</v>
      </c>
      <c r="N58" s="34" t="s">
        <v>282</v>
      </c>
    </row>
    <row r="59" spans="1:14" ht="10.5">
      <c r="A59" s="30">
        <v>53</v>
      </c>
      <c r="B59" s="39" t="s">
        <v>80</v>
      </c>
      <c r="C59" s="34" t="s">
        <v>232</v>
      </c>
      <c r="D59" s="37">
        <v>0</v>
      </c>
      <c r="F59" s="24"/>
      <c r="G59" s="24"/>
      <c r="H59" s="24"/>
      <c r="I59" s="24"/>
      <c r="J59" s="40"/>
      <c r="K59" s="40"/>
      <c r="L59" s="24"/>
      <c r="N59" s="34" t="s">
        <v>283</v>
      </c>
    </row>
    <row r="60" spans="1:14" ht="10.5">
      <c r="A60" s="30">
        <v>54</v>
      </c>
      <c r="B60" s="39" t="s">
        <v>105</v>
      </c>
      <c r="C60" s="34" t="s">
        <v>232</v>
      </c>
      <c r="D60" s="37">
        <v>0</v>
      </c>
      <c r="F60" s="24">
        <f>ROUND(SUMIF(Определители!G6:G17,"=1",'Базовые цены с учетом расхода'!F6:F17),2)</f>
        <v>1006.38</v>
      </c>
      <c r="G60" s="24"/>
      <c r="H60" s="24"/>
      <c r="I60" s="24"/>
      <c r="J60" s="40"/>
      <c r="K60" s="40"/>
      <c r="L60" s="24"/>
      <c r="N60" s="34" t="s">
        <v>284</v>
      </c>
    </row>
    <row r="61" spans="1:14" ht="10.5">
      <c r="A61" s="30">
        <v>55</v>
      </c>
      <c r="B61" s="39" t="s">
        <v>84</v>
      </c>
      <c r="C61" s="34" t="s">
        <v>232</v>
      </c>
      <c r="D61" s="37">
        <v>0</v>
      </c>
      <c r="F61" s="24">
        <f>ROUND(SUMIF(Определители!I6:I17,"=7",'Базовые цены с учетом расхода'!H6:H17),2)</f>
        <v>0</v>
      </c>
      <c r="G61" s="24"/>
      <c r="H61" s="24"/>
      <c r="I61" s="24"/>
      <c r="J61" s="40"/>
      <c r="K61" s="40"/>
      <c r="L61" s="24"/>
      <c r="N61" s="34" t="s">
        <v>285</v>
      </c>
    </row>
    <row r="62" spans="1:14" ht="10.5">
      <c r="A62" s="30">
        <v>56</v>
      </c>
      <c r="B62" s="39" t="s">
        <v>106</v>
      </c>
      <c r="C62" s="34" t="s">
        <v>232</v>
      </c>
      <c r="D62" s="37">
        <v>0</v>
      </c>
      <c r="F62" s="24">
        <f>ROUND(SUMIF(Определители!I6:I17,"=7",'Базовые цены с учетом расхода'!N6:N17),2)</f>
        <v>0</v>
      </c>
      <c r="G62" s="24"/>
      <c r="H62" s="24"/>
      <c r="I62" s="24"/>
      <c r="J62" s="40"/>
      <c r="K62" s="40"/>
      <c r="L62" s="24"/>
      <c r="N62" s="34" t="s">
        <v>286</v>
      </c>
    </row>
    <row r="63" spans="1:14" ht="10.5">
      <c r="A63" s="30">
        <v>57</v>
      </c>
      <c r="B63" s="39" t="s">
        <v>86</v>
      </c>
      <c r="C63" s="34" t="s">
        <v>232</v>
      </c>
      <c r="D63" s="37">
        <v>0</v>
      </c>
      <c r="F63" s="24">
        <f>ROUND(SUMIF(Определители!I6:I17,"=7",'Базовые цены с учетом расхода'!O6:O17),2)</f>
        <v>0</v>
      </c>
      <c r="G63" s="24"/>
      <c r="H63" s="24"/>
      <c r="I63" s="24"/>
      <c r="J63" s="40"/>
      <c r="K63" s="40"/>
      <c r="L63" s="24"/>
      <c r="N63" s="34" t="s">
        <v>287</v>
      </c>
    </row>
    <row r="64" spans="1:14" ht="10.5">
      <c r="A64" s="30">
        <v>58</v>
      </c>
      <c r="B64" s="39" t="s">
        <v>107</v>
      </c>
      <c r="C64" s="34" t="s">
        <v>239</v>
      </c>
      <c r="D64" s="37">
        <v>0</v>
      </c>
      <c r="F64" s="24">
        <f>ROUND((F58+F62+F63),2)</f>
        <v>0</v>
      </c>
      <c r="G64" s="24"/>
      <c r="H64" s="24"/>
      <c r="I64" s="24"/>
      <c r="J64" s="40"/>
      <c r="K64" s="40"/>
      <c r="L64" s="24"/>
      <c r="N64" s="34" t="s">
        <v>288</v>
      </c>
    </row>
    <row r="65" spans="1:14" ht="10.5">
      <c r="A65" s="30">
        <v>59</v>
      </c>
      <c r="B65" s="39" t="s">
        <v>108</v>
      </c>
      <c r="C65" s="34" t="s">
        <v>232</v>
      </c>
      <c r="D65" s="37">
        <v>0</v>
      </c>
      <c r="F65" s="24">
        <f>ROUND(SUMIF(Определители!I6:I17,"=9",'Базовые цены с учетом расхода'!B6:B17),2)</f>
        <v>0</v>
      </c>
      <c r="G65" s="24">
        <f>ROUND(SUMIF(Определители!I6:I17,"=9",'Базовые цены с учетом расхода'!C6:C17),2)</f>
        <v>0</v>
      </c>
      <c r="H65" s="24">
        <f>ROUND(SUMIF(Определители!I6:I17,"=9",'Базовые цены с учетом расхода'!D6:D17),2)</f>
        <v>0</v>
      </c>
      <c r="I65" s="24">
        <f>ROUND(SUMIF(Определители!I6:I17,"=9",'Базовые цены с учетом расхода'!E6:E17),2)</f>
        <v>0</v>
      </c>
      <c r="J65" s="40">
        <f>ROUND(SUMIF(Определители!I6:I17,"=9",'Базовые цены с учетом расхода'!I6:I17),8)</f>
        <v>0</v>
      </c>
      <c r="K65" s="40">
        <f>ROUND(SUMIF(Определители!I6:I17,"=9",'Базовые цены с учетом расхода'!K6:K17),8)</f>
        <v>0</v>
      </c>
      <c r="L65" s="24">
        <f>ROUND(SUMIF(Определители!I6:I17,"=9",'Базовые цены с учетом расхода'!F6:F17),2)</f>
        <v>0</v>
      </c>
      <c r="N65" s="34" t="s">
        <v>289</v>
      </c>
    </row>
    <row r="66" spans="1:14" ht="10.5">
      <c r="A66" s="30">
        <v>60</v>
      </c>
      <c r="B66" s="39" t="s">
        <v>106</v>
      </c>
      <c r="C66" s="34" t="s">
        <v>232</v>
      </c>
      <c r="D66" s="37">
        <v>0</v>
      </c>
      <c r="F66" s="24">
        <f>ROUND(SUMIF(Определители!I6:I17,"=9",'Базовые цены с учетом расхода'!N6:N17),2)</f>
        <v>0</v>
      </c>
      <c r="G66" s="24"/>
      <c r="H66" s="24"/>
      <c r="I66" s="24"/>
      <c r="J66" s="40"/>
      <c r="K66" s="40"/>
      <c r="L66" s="24"/>
      <c r="N66" s="34" t="s">
        <v>290</v>
      </c>
    </row>
    <row r="67" spans="1:14" ht="10.5">
      <c r="A67" s="30">
        <v>61</v>
      </c>
      <c r="B67" s="39" t="s">
        <v>86</v>
      </c>
      <c r="C67" s="34" t="s">
        <v>232</v>
      </c>
      <c r="D67" s="37">
        <v>0</v>
      </c>
      <c r="F67" s="24">
        <f>ROUND(SUMIF(Определители!I6:I17,"=9",'Базовые цены с учетом расхода'!O6:O17),2)</f>
        <v>0</v>
      </c>
      <c r="G67" s="24"/>
      <c r="H67" s="24"/>
      <c r="I67" s="24"/>
      <c r="J67" s="40"/>
      <c r="K67" s="40"/>
      <c r="L67" s="24"/>
      <c r="N67" s="34" t="s">
        <v>291</v>
      </c>
    </row>
    <row r="68" spans="1:14" ht="10.5">
      <c r="A68" s="30">
        <v>62</v>
      </c>
      <c r="B68" s="39" t="s">
        <v>109</v>
      </c>
      <c r="C68" s="34" t="s">
        <v>239</v>
      </c>
      <c r="D68" s="37">
        <v>0</v>
      </c>
      <c r="F68" s="24">
        <f>ROUND((F65+F66+F67),2)</f>
        <v>0</v>
      </c>
      <c r="G68" s="24"/>
      <c r="H68" s="24"/>
      <c r="I68" s="24"/>
      <c r="J68" s="40"/>
      <c r="K68" s="40"/>
      <c r="L68" s="24"/>
      <c r="N68" s="34" t="s">
        <v>292</v>
      </c>
    </row>
    <row r="69" spans="1:14" ht="10.5">
      <c r="A69" s="30">
        <v>63</v>
      </c>
      <c r="B69" s="39" t="s">
        <v>110</v>
      </c>
      <c r="C69" s="34" t="s">
        <v>232</v>
      </c>
      <c r="D69" s="37">
        <v>0</v>
      </c>
      <c r="F69" s="24">
        <f>ROUND(SUMIF(Определители!I6:I17,"=:",'Базовые цены с учетом расхода'!B6:B17),2)</f>
        <v>0</v>
      </c>
      <c r="G69" s="24">
        <f>ROUND(SUMIF(Определители!I6:I17,"=:",'Базовые цены с учетом расхода'!C6:C17),2)</f>
        <v>0</v>
      </c>
      <c r="H69" s="24">
        <f>ROUND(SUMIF(Определители!I6:I17,"=:",'Базовые цены с учетом расхода'!D6:D17),2)</f>
        <v>0</v>
      </c>
      <c r="I69" s="24">
        <f>ROUND(SUMIF(Определители!I6:I17,"=:",'Базовые цены с учетом расхода'!E6:E17),2)</f>
        <v>0</v>
      </c>
      <c r="J69" s="40">
        <f>ROUND(SUMIF(Определители!I6:I17,"=:",'Базовые цены с учетом расхода'!I6:I17),8)</f>
        <v>0</v>
      </c>
      <c r="K69" s="40">
        <f>ROUND(SUMIF(Определители!I6:I17,"=:",'Базовые цены с учетом расхода'!K6:K17),8)</f>
        <v>0</v>
      </c>
      <c r="L69" s="24">
        <f>ROUND(SUMIF(Определители!I6:I17,"=:",'Базовые цены с учетом расхода'!F6:F17),2)</f>
        <v>0</v>
      </c>
      <c r="N69" s="34" t="s">
        <v>293</v>
      </c>
    </row>
    <row r="70" spans="1:14" ht="10.5">
      <c r="A70" s="30">
        <v>64</v>
      </c>
      <c r="B70" s="39" t="s">
        <v>84</v>
      </c>
      <c r="C70" s="34" t="s">
        <v>232</v>
      </c>
      <c r="D70" s="37">
        <v>0</v>
      </c>
      <c r="F70" s="24">
        <f>ROUND(SUMIF(Определители!I6:I17,"=:",'Базовые цены с учетом расхода'!H6:H17),2)</f>
        <v>0</v>
      </c>
      <c r="G70" s="24"/>
      <c r="H70" s="24"/>
      <c r="I70" s="24"/>
      <c r="J70" s="40"/>
      <c r="K70" s="40"/>
      <c r="L70" s="24"/>
      <c r="N70" s="34" t="s">
        <v>294</v>
      </c>
    </row>
    <row r="71" spans="1:14" ht="10.5">
      <c r="A71" s="30">
        <v>65</v>
      </c>
      <c r="B71" s="39" t="s">
        <v>106</v>
      </c>
      <c r="C71" s="34" t="s">
        <v>232</v>
      </c>
      <c r="D71" s="37">
        <v>0</v>
      </c>
      <c r="F71" s="24">
        <f>ROUND(SUMIF(Определители!I6:I17,"=:",'Базовые цены с учетом расхода'!N6:N17),2)</f>
        <v>0</v>
      </c>
      <c r="G71" s="24"/>
      <c r="H71" s="24"/>
      <c r="I71" s="24"/>
      <c r="J71" s="40"/>
      <c r="K71" s="40"/>
      <c r="L71" s="24"/>
      <c r="N71" s="34" t="s">
        <v>295</v>
      </c>
    </row>
    <row r="72" spans="1:14" ht="10.5">
      <c r="A72" s="30">
        <v>66</v>
      </c>
      <c r="B72" s="39" t="s">
        <v>86</v>
      </c>
      <c r="C72" s="34" t="s">
        <v>232</v>
      </c>
      <c r="D72" s="37">
        <v>0</v>
      </c>
      <c r="F72" s="24">
        <f>ROUND(SUMIF(Определители!I6:I17,"=:",'Базовые цены с учетом расхода'!O6:O17),2)</f>
        <v>0</v>
      </c>
      <c r="G72" s="24"/>
      <c r="H72" s="24"/>
      <c r="I72" s="24"/>
      <c r="J72" s="40"/>
      <c r="K72" s="40"/>
      <c r="L72" s="24"/>
      <c r="N72" s="34" t="s">
        <v>296</v>
      </c>
    </row>
    <row r="73" spans="1:14" ht="10.5">
      <c r="A73" s="30">
        <v>67</v>
      </c>
      <c r="B73" s="39" t="s">
        <v>111</v>
      </c>
      <c r="C73" s="34" t="s">
        <v>239</v>
      </c>
      <c r="D73" s="37">
        <v>0</v>
      </c>
      <c r="F73" s="24">
        <f>ROUND((F69+F71+F72),2)</f>
        <v>0</v>
      </c>
      <c r="G73" s="24"/>
      <c r="H73" s="24"/>
      <c r="I73" s="24"/>
      <c r="J73" s="40"/>
      <c r="K73" s="40"/>
      <c r="L73" s="24"/>
      <c r="N73" s="34" t="s">
        <v>297</v>
      </c>
    </row>
    <row r="74" spans="1:14" ht="10.5">
      <c r="A74" s="30">
        <v>68</v>
      </c>
      <c r="B74" s="39" t="s">
        <v>112</v>
      </c>
      <c r="C74" s="34" t="s">
        <v>232</v>
      </c>
      <c r="D74" s="37">
        <v>0</v>
      </c>
      <c r="F74" s="24">
        <f>ROUND(SUMIF(Определители!I6:I17,"=8",'Базовые цены с учетом расхода'!B6:B17),2)</f>
        <v>0</v>
      </c>
      <c r="G74" s="24">
        <f>ROUND(SUMIF(Определители!I6:I17,"=8",'Базовые цены с учетом расхода'!C6:C17),2)</f>
        <v>0</v>
      </c>
      <c r="H74" s="24">
        <f>ROUND(SUMIF(Определители!I6:I17,"=8",'Базовые цены с учетом расхода'!D6:D17),2)</f>
        <v>0</v>
      </c>
      <c r="I74" s="24">
        <f>ROUND(SUMIF(Определители!I6:I17,"=8",'Базовые цены с учетом расхода'!E6:E17),2)</f>
        <v>0</v>
      </c>
      <c r="J74" s="40">
        <f>ROUND(SUMIF(Определители!I6:I17,"=8",'Базовые цены с учетом расхода'!I6:I17),8)</f>
        <v>0</v>
      </c>
      <c r="K74" s="40">
        <f>ROUND(SUMIF(Определители!I6:I17,"=8",'Базовые цены с учетом расхода'!K6:K17),8)</f>
        <v>0</v>
      </c>
      <c r="L74" s="24">
        <f>ROUND(SUMIF(Определители!I6:I17,"=8",'Базовые цены с учетом расхода'!F6:F17),2)</f>
        <v>0</v>
      </c>
      <c r="N74" s="34" t="s">
        <v>298</v>
      </c>
    </row>
    <row r="75" spans="1:14" ht="10.5">
      <c r="A75" s="30">
        <v>69</v>
      </c>
      <c r="B75" s="39" t="s">
        <v>84</v>
      </c>
      <c r="C75" s="34" t="s">
        <v>232</v>
      </c>
      <c r="D75" s="37">
        <v>0</v>
      </c>
      <c r="F75" s="24">
        <f>ROUND(SUMIF(Определители!I6:I17,"=8",'Базовые цены с учетом расхода'!H6:H17),2)</f>
        <v>0</v>
      </c>
      <c r="G75" s="24"/>
      <c r="H75" s="24"/>
      <c r="I75" s="24"/>
      <c r="J75" s="40"/>
      <c r="K75" s="40"/>
      <c r="L75" s="24"/>
      <c r="N75" s="34" t="s">
        <v>299</v>
      </c>
    </row>
    <row r="76" spans="1:14" ht="10.5">
      <c r="A76" s="30">
        <v>70</v>
      </c>
      <c r="B76" s="39" t="s">
        <v>113</v>
      </c>
      <c r="C76" s="34" t="s">
        <v>239</v>
      </c>
      <c r="D76" s="37">
        <v>0</v>
      </c>
      <c r="F76" s="24">
        <f>ROUND((F17+F27+F34+F39+F47+F52+F57+F64+F68+F73+F74),2)</f>
        <v>352894.51</v>
      </c>
      <c r="G76" s="24">
        <f>ROUND((G17+G27+G34+G39+G47+G52+G57+G64+G68+G73+G74),2)</f>
        <v>0</v>
      </c>
      <c r="H76" s="24">
        <f>ROUND((H17+H27+H34+H39+H47+H52+H57+H64+H68+H73+H74),2)</f>
        <v>0</v>
      </c>
      <c r="I76" s="24">
        <f>ROUND((I17+I27+I34+I39+I47+I52+I57+I64+I68+I73+I74),2)</f>
        <v>0</v>
      </c>
      <c r="J76" s="40">
        <f>ROUND((J17+J27+J34+J39+J47+J52+J57+J64+J68+J73+J74),8)</f>
        <v>0</v>
      </c>
      <c r="K76" s="40">
        <f>ROUND((K17+K27+K34+K39+K47+K52+K57+K64+K68+K73+K74),8)</f>
        <v>0</v>
      </c>
      <c r="L76" s="24">
        <f>ROUND((L17+L27+L34+L39+L47+L52+L57+L64+L68+L73+L74),2)</f>
        <v>0</v>
      </c>
      <c r="N76" s="34" t="s">
        <v>300</v>
      </c>
    </row>
    <row r="77" spans="1:14" ht="10.5">
      <c r="A77" s="30">
        <v>71</v>
      </c>
      <c r="B77" s="39" t="s">
        <v>114</v>
      </c>
      <c r="C77" s="34" t="s">
        <v>239</v>
      </c>
      <c r="D77" s="37">
        <v>0</v>
      </c>
      <c r="F77" s="24">
        <f>ROUND((F23+F31+F36+F43+F49+F54+F61+F70+F75),2)</f>
        <v>0</v>
      </c>
      <c r="G77" s="24"/>
      <c r="H77" s="24"/>
      <c r="I77" s="24"/>
      <c r="J77" s="40"/>
      <c r="K77" s="40"/>
      <c r="L77" s="24"/>
      <c r="N77" s="34" t="s">
        <v>301</v>
      </c>
    </row>
    <row r="78" spans="1:14" ht="10.5">
      <c r="A78" s="30">
        <v>72</v>
      </c>
      <c r="B78" s="39" t="s">
        <v>115</v>
      </c>
      <c r="C78" s="34" t="s">
        <v>239</v>
      </c>
      <c r="D78" s="37">
        <v>0</v>
      </c>
      <c r="F78" s="24">
        <f>ROUND((F24+F32+F37+F44+F50+F55+F62+F66+F71),2)</f>
        <v>13357.6</v>
      </c>
      <c r="G78" s="24"/>
      <c r="H78" s="24"/>
      <c r="I78" s="24"/>
      <c r="J78" s="40"/>
      <c r="K78" s="40"/>
      <c r="L78" s="24"/>
      <c r="N78" s="34" t="s">
        <v>302</v>
      </c>
    </row>
    <row r="79" spans="1:14" ht="10.5">
      <c r="A79" s="30">
        <v>73</v>
      </c>
      <c r="B79" s="39" t="s">
        <v>116</v>
      </c>
      <c r="C79" s="34" t="s">
        <v>239</v>
      </c>
      <c r="D79" s="37">
        <v>0</v>
      </c>
      <c r="F79" s="24">
        <f>ROUND((F25+F33+F38+F45+F51+F56+F63+F67+F72),2)</f>
        <v>7770.43</v>
      </c>
      <c r="G79" s="24"/>
      <c r="H79" s="24"/>
      <c r="I79" s="24"/>
      <c r="J79" s="40"/>
      <c r="K79" s="40"/>
      <c r="L79" s="24"/>
      <c r="N79" s="34" t="s">
        <v>303</v>
      </c>
    </row>
    <row r="80" spans="1:14" ht="10.5">
      <c r="A80" s="30">
        <v>74</v>
      </c>
      <c r="B80" s="39" t="s">
        <v>117</v>
      </c>
      <c r="C80" s="34" t="s">
        <v>304</v>
      </c>
      <c r="D80" s="37">
        <v>3.38</v>
      </c>
      <c r="F80" s="24">
        <f>ROUND((F76)*D80,2)</f>
        <v>1192783.44</v>
      </c>
      <c r="G80" s="24"/>
      <c r="H80" s="24"/>
      <c r="I80" s="24"/>
      <c r="J80" s="40"/>
      <c r="K80" s="40"/>
      <c r="L80" s="24"/>
      <c r="N80" s="34" t="s">
        <v>305</v>
      </c>
    </row>
    <row r="81" spans="1:14" ht="10.5">
      <c r="A81" s="30">
        <v>75</v>
      </c>
      <c r="B81" s="39" t="s">
        <v>118</v>
      </c>
      <c r="C81" s="34" t="s">
        <v>306</v>
      </c>
      <c r="D81" s="37">
        <v>18</v>
      </c>
      <c r="F81" s="24">
        <f>ROUND((F80)*D81/100,2)</f>
        <v>214701.02</v>
      </c>
      <c r="G81" s="24"/>
      <c r="H81" s="24"/>
      <c r="I81" s="24"/>
      <c r="J81" s="40"/>
      <c r="K81" s="40"/>
      <c r="L81" s="24"/>
      <c r="N81" s="34" t="s">
        <v>307</v>
      </c>
    </row>
    <row r="82" spans="1:14" ht="10.5">
      <c r="A82" s="30">
        <v>76</v>
      </c>
      <c r="B82" s="39" t="s">
        <v>119</v>
      </c>
      <c r="C82" s="34" t="s">
        <v>308</v>
      </c>
      <c r="D82" s="37">
        <v>0</v>
      </c>
      <c r="F82" s="24">
        <f>ROUND((F80+F81),2)</f>
        <v>1407484.46</v>
      </c>
      <c r="G82" s="24"/>
      <c r="H82" s="24"/>
      <c r="I82" s="24"/>
      <c r="J82" s="40"/>
      <c r="K82" s="40"/>
      <c r="L82" s="24"/>
      <c r="N82" s="34" t="s">
        <v>309</v>
      </c>
    </row>
    <row r="83" spans="1:14" ht="10.5">
      <c r="A83" s="30">
        <v>77</v>
      </c>
      <c r="B83" s="39" t="s">
        <v>120</v>
      </c>
      <c r="C83" s="34" t="s">
        <v>310</v>
      </c>
      <c r="D83" s="37">
        <v>0</v>
      </c>
      <c r="F83" s="24"/>
      <c r="G83" s="24"/>
      <c r="H83" s="24"/>
      <c r="I83" s="24"/>
      <c r="J83" s="40"/>
      <c r="K83" s="40"/>
      <c r="L83" s="24">
        <f>ROUND(SUM('Базовые цены с учетом расхода'!X6:X17),2)</f>
        <v>0</v>
      </c>
      <c r="N83" s="34" t="s">
        <v>311</v>
      </c>
    </row>
    <row r="84" spans="1:14" ht="10.5">
      <c r="A84" s="30">
        <v>78</v>
      </c>
      <c r="B84" s="39" t="s">
        <v>121</v>
      </c>
      <c r="C84" s="34" t="s">
        <v>310</v>
      </c>
      <c r="D84" s="37">
        <v>0</v>
      </c>
      <c r="F84" s="24">
        <f>ROUND(SUM('Базовые цены с учетом расхода'!C6:C17),2)</f>
        <v>12963.61</v>
      </c>
      <c r="G84" s="24"/>
      <c r="H84" s="24"/>
      <c r="I84" s="24"/>
      <c r="J84" s="40"/>
      <c r="K84" s="40"/>
      <c r="L84" s="24"/>
      <c r="N84" s="34" t="s">
        <v>312</v>
      </c>
    </row>
    <row r="85" spans="1:14" ht="10.5">
      <c r="A85" s="30">
        <v>79</v>
      </c>
      <c r="B85" s="39" t="s">
        <v>122</v>
      </c>
      <c r="C85" s="34" t="s">
        <v>310</v>
      </c>
      <c r="D85" s="37">
        <v>0</v>
      </c>
      <c r="F85" s="24">
        <f>ROUND(SUM('Базовые цены с учетом расхода'!E6:E17),2)</f>
        <v>191.74</v>
      </c>
      <c r="G85" s="24"/>
      <c r="H85" s="24"/>
      <c r="I85" s="24"/>
      <c r="J85" s="40"/>
      <c r="K85" s="40"/>
      <c r="L85" s="24"/>
      <c r="N85" s="34" t="s">
        <v>313</v>
      </c>
    </row>
    <row r="86" spans="1:14" ht="10.5">
      <c r="A86" s="30">
        <v>80</v>
      </c>
      <c r="B86" s="39" t="s">
        <v>123</v>
      </c>
      <c r="C86" s="34" t="s">
        <v>308</v>
      </c>
      <c r="D86" s="37">
        <v>0</v>
      </c>
      <c r="F86" s="24">
        <f>ROUND((F84+F85),2)</f>
        <v>13155.35</v>
      </c>
      <c r="G86" s="24"/>
      <c r="H86" s="24"/>
      <c r="I86" s="24"/>
      <c r="J86" s="40"/>
      <c r="K86" s="40"/>
      <c r="L86" s="24"/>
      <c r="N86" s="34" t="s">
        <v>314</v>
      </c>
    </row>
    <row r="87" spans="1:14" ht="10.5">
      <c r="A87" s="30">
        <v>81</v>
      </c>
      <c r="B87" s="39" t="s">
        <v>124</v>
      </c>
      <c r="C87" s="34" t="s">
        <v>310</v>
      </c>
      <c r="D87" s="37">
        <v>0</v>
      </c>
      <c r="F87" s="24"/>
      <c r="G87" s="24"/>
      <c r="H87" s="24"/>
      <c r="I87" s="24"/>
      <c r="J87" s="40">
        <f>ROUND(SUM('Базовые цены с учетом расхода'!I6:I17),8)</f>
        <v>1114.1722117</v>
      </c>
      <c r="K87" s="40"/>
      <c r="L87" s="24"/>
      <c r="N87" s="34" t="s">
        <v>315</v>
      </c>
    </row>
    <row r="88" spans="1:14" ht="10.5">
      <c r="A88" s="30">
        <v>82</v>
      </c>
      <c r="B88" s="39" t="s">
        <v>125</v>
      </c>
      <c r="C88" s="34" t="s">
        <v>310</v>
      </c>
      <c r="D88" s="37">
        <v>0</v>
      </c>
      <c r="F88" s="24"/>
      <c r="G88" s="24"/>
      <c r="H88" s="24"/>
      <c r="I88" s="24"/>
      <c r="J88" s="40">
        <f>ROUND(SUM('Базовые цены с учетом расхода'!K6:K17),8)</f>
        <v>16.5768875</v>
      </c>
      <c r="K88" s="40"/>
      <c r="L88" s="24"/>
      <c r="N88" s="34" t="s">
        <v>316</v>
      </c>
    </row>
    <row r="89" spans="1:14" ht="10.5">
      <c r="A89" s="30">
        <v>83</v>
      </c>
      <c r="B89" s="39" t="s">
        <v>126</v>
      </c>
      <c r="C89" s="34" t="s">
        <v>308</v>
      </c>
      <c r="D89" s="37">
        <v>0</v>
      </c>
      <c r="F89" s="24"/>
      <c r="G89" s="24"/>
      <c r="H89" s="24"/>
      <c r="I89" s="24"/>
      <c r="J89" s="40">
        <f>ROUND((J87+J88),8)</f>
        <v>1130.7490992</v>
      </c>
      <c r="K89" s="40"/>
      <c r="L89" s="24"/>
      <c r="N89" s="34" t="s">
        <v>317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2011-01-23T10:48:20Z</dcterms:created>
  <dcterms:modified xsi:type="dcterms:W3CDTF">2011-01-23T10:48:21Z</dcterms:modified>
  <cp:category/>
  <cp:version/>
  <cp:contentType/>
  <cp:contentStatus/>
</cp:coreProperties>
</file>