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" sheetId="1" r:id="rId1"/>
    <sheet name="Базовые цены за единицу" sheetId="2" r:id="rId2"/>
    <sheet name="Базовые цены с учетом расхода" sheetId="3" r:id="rId3"/>
    <sheet name="Начисления" sheetId="4" r:id="rId4"/>
    <sheet name="Определители" sheetId="5" r:id="rId5"/>
    <sheet name="Базовые концовки" sheetId="6" r:id="rId6"/>
  </sheets>
  <definedNames/>
  <calcPr fullCalcOnLoad="1"/>
</workbook>
</file>

<file path=xl/sharedStrings.xml><?xml version="1.0" encoding="utf-8"?>
<sst xmlns="http://schemas.openxmlformats.org/spreadsheetml/2006/main" count="846" uniqueCount="330">
  <si>
    <t>Форма 4</t>
  </si>
  <si>
    <t>«СОГЛАСОВАНО»</t>
  </si>
  <si>
    <t>«УТВЕРЖДАЮ»</t>
  </si>
  <si>
    <t>Смета на сумму:</t>
  </si>
  <si>
    <t>руб.</t>
  </si>
  <si>
    <t>________________ /______________________ /</t>
  </si>
  <si>
    <t xml:space="preserve">Объект: </t>
  </si>
  <si>
    <t>Административное здание 1 этаж.</t>
  </si>
  <si>
    <t>ЛОКАЛЬНАЯ СМЕТА № 1</t>
  </si>
  <si>
    <t>на смену водосчетчиков</t>
  </si>
  <si>
    <t xml:space="preserve">Основание: </t>
  </si>
  <si>
    <t>Дефектная ведомость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</si>
  <si>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</si>
  <si>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</si>
  <si>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</si>
  <si>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</si>
  <si>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</si>
  <si>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Составлена в базисных ценах на 01.2000 г.</t>
  </si>
  <si>
    <t>№ поз</t>
  </si>
  <si>
    <t>Шифр и № позиции норматива, Наименование работ и затрат, Единица измерения</t>
  </si>
  <si>
    <t>Количе-ство</t>
  </si>
  <si>
    <t>Стоим. ед., руб.</t>
  </si>
  <si>
    <t>Общая стоимость, руб.</t>
  </si>
  <si>
    <t>Затр. труда рабочих, не зан. обсл. машин, чел-ч</t>
  </si>
  <si>
    <t>всего</t>
  </si>
  <si>
    <t>экс. маш.</t>
  </si>
  <si>
    <t>оплата труда осн. раб.</t>
  </si>
  <si>
    <t>обслуж. машины</t>
  </si>
  <si>
    <t>в т.ч. опл. труда мех.</t>
  </si>
  <si>
    <t>на ед.</t>
  </si>
  <si>
    <t>1.</t>
  </si>
  <si>
    <t>Е16-06-005-1
Демонтаж счетчиков (водомеров) диаметром, мм, до: 40, шт.</t>
  </si>
  <si>
    <t>sum</t>
  </si>
  <si>
    <t>IsZPR</t>
  </si>
  <si>
    <t>sum_b</t>
  </si>
  <si>
    <t>IsZPM</t>
  </si>
  <si>
    <t>Накладные расходы</t>
  </si>
  <si>
    <t>Nakl</t>
  </si>
  <si>
    <t>НР от ЗПР</t>
  </si>
  <si>
    <t>Nakl_ZPR</t>
  </si>
  <si>
    <t>НР от ЗПМ</t>
  </si>
  <si>
    <t>Nakl_ZPM</t>
  </si>
  <si>
    <t>Сметная прибыль</t>
  </si>
  <si>
    <t>Plan</t>
  </si>
  <si>
    <t>СП от ЗПР</t>
  </si>
  <si>
    <t>Plan_ZPR</t>
  </si>
  <si>
    <t>СП от ЗПМ</t>
  </si>
  <si>
    <t>Plan_ZPM</t>
  </si>
  <si>
    <t>2.</t>
  </si>
  <si>
    <t>Е16-06-005-1
Установка счетчиков (водомеров) диаметром, мм, до: 40, шт.</t>
  </si>
  <si>
    <t>3.</t>
  </si>
  <si>
    <t>С999-Счет №...от
Счетчики (водомеры) холодной воды, диам. 15 мм,  465/3,04, шт.</t>
  </si>
  <si>
    <t xml:space="preserve">   Поправки: М: *1/3.04</t>
  </si>
  <si>
    <t>4.</t>
  </si>
  <si>
    <t>Е18-06-007-1
Демонтаж фильтров для очистки воды в трубопроводах систем отопления, диаметром, мм: 25, шт.</t>
  </si>
  <si>
    <t xml:space="preserve">   Вычт.ресурсы:  С101-1522:[ М-(0.75=10660.00*0.00007) ];  С300-1213:[ М-(95.00=95.00*1) ]</t>
  </si>
  <si>
    <t>5.</t>
  </si>
  <si>
    <t>Е18-06-007-1
Установка фильтров для очистки воды в трубопроводах систем отопления, диаметром, мм: 25, шт.</t>
  </si>
  <si>
    <t xml:space="preserve">   Вычт.ресурсы:  С300-1213:[ М-(95.00=95.00*1) ]</t>
  </si>
  <si>
    <t>6.</t>
  </si>
  <si>
    <t>С999-Счет №...от
Фильтры для очистки воды в трубопроводах, диаметром, мм: 15,  120/3,04, шт.</t>
  </si>
  <si>
    <t>7.</t>
  </si>
  <si>
    <t>Е16-07-003-4
Демонтаж врезки в действующие внутренние сети трубопроводов отопления и водоснабжения диаметром, мм: 32, врезка</t>
  </si>
  <si>
    <t xml:space="preserve">   Вычт.ресурсы:  С101-1522:[ М-(1.60=10660.00*0.00015) ];  С103-0052:[ М-(18.20=45.50*0.4) ];  С300-9002-71:[ М-(59.50=59.50*1) ]</t>
  </si>
  <si>
    <t>8.</t>
  </si>
  <si>
    <t>Е16-07-003-4
Врезки в действующие внутренние сети трубопроводов отопления и водоснабжения диаметром, мм: 32, врезка</t>
  </si>
  <si>
    <t>9.</t>
  </si>
  <si>
    <t>С300-9002-74
Вентили проходные муфтовые 15Б1п для воды и пара, давлением 1,6 МПа (16 кгс/см2), диаметром, мм: 15, шт.</t>
  </si>
  <si>
    <t>10.</t>
  </si>
  <si>
    <t>Е65-5-8
Смена задвижек диаметром 50 мм (30ч6бр), 100 шт.</t>
  </si>
  <si>
    <t>11.</t>
  </si>
  <si>
    <t>Е65-9-9
Смена внутренних трубопроводов из оцинкованных водогазопроводных труб диаметром 100 мм, 100 м</t>
  </si>
  <si>
    <t>12.</t>
  </si>
  <si>
    <t>С300-0969
Фланцы стальные плоские приварные из стали ВСт3сп2, ВСт3сп3; давлением 1,0 МПа (10 кгс/см2), диаметром, мм: 100, шт.</t>
  </si>
  <si>
    <t>.    ИТОГО  ПО  СМЕТЕ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</si>
  <si>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</si>
  <si>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</si>
  <si>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</si>
  <si>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</si>
  <si>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</si>
  <si>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</si>
  <si>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</si>
  <si>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</si>
  <si>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</si>
  <si>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</si>
  <si>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</si>
  <si>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</si>
  <si>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</si>
  <si>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</si>
  <si>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</si>
  <si>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</si>
  <si>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</t>
  </si>
  <si>
    <t>.   СМЕТНАЯ ПРИБЫЛЬ -</t>
  </si>
  <si>
    <t>ВСЕГО, СТОИМОСТЬ МОНТАЖНЫХ РАБОТ -</t>
  </si>
  <si>
    <t>СТОИМОСТЬ ОБЩЕСТРОИТЕЛЬНЫХ РАБОТ -</t>
  </si>
  <si>
    <t>.       МАТЕРИАЛОВ -</t>
  </si>
  <si>
    <t>ВСЕГО, СТОИМОСТЬ ОБЩЕСТРОИТЕЛЬНЫХ РАБОТ -</t>
  </si>
  <si>
    <t>СТОИМОСТЬ МЕТАЛЛОМОНТАЖНЫХ РАБОТ -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</si>
  <si>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</si>
  <si>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</si>
  <si>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</si>
  <si>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.   НАКЛАДНЫЕ РАСХОДЫ - (%=115 - по стр. 1, 2, 4, 5, 7, 8; %=103 - по стр. 10, 11)</t>
  </si>
  <si>
    <t>.   СМЕТНАЯ ПРИБЫЛЬ - (%=71 - по стр. 1, 2, 4, 5, 7, 8; %=60 - по стр. 10, 11)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</si>
  <si>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</si>
  <si>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</si>
  <si>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</si>
  <si>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</si>
  <si>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</si>
  <si>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</si>
  <si>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</si>
  <si>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</si>
  <si>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</si>
  <si>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>СТОИМОСТЬ ПУСКОНАЛАДОЧНЫХ PАБОТ -</t>
  </si>
  <si>
    <t>ВСЕГО, СТОИМОСТЬ ПУСКОНАЛАДОЧНЫХ PАБОТ -</t>
  </si>
  <si>
    <t>СТОИМОСТЬ ПРОЧИХ PАБОТ (С НАКЛ. И ПЛАН.) -</t>
  </si>
  <si>
    <t>ВСЕГО, СТОИМОСТЬ ПPОЧИХ PАБОТ (С НАКЛ. И ПЛАН.) -</t>
  </si>
  <si>
    <t>ВСЕГО, СТОИМОСТЬ ПPОЧИХ PАБОТ (БЕЗ НАКЛ. И ПЛАН.) -</t>
  </si>
  <si>
    <t>. ВСЕГО  ПО  СМЕТЕ</t>
  </si>
  <si>
    <t>ВСЕГО СТОИМОСТЬ ВОЗВРАЩАЕМЫХ МАТЕРИАЛОВ -</t>
  </si>
  <si>
    <t>ВСЕГО НАКЛАДНЫЕ РАСХОДЫ</t>
  </si>
  <si>
    <t>ВСЕГО СМЕТНАЯ ПРИБЫЛЬ</t>
  </si>
  <si>
    <t>ИТОГО ПО СМЕТЕ С КОЭФФ.УДОРОЖАНИЯ(I квартал 2011г.)</t>
  </si>
  <si>
    <t>НДС, %</t>
  </si>
  <si>
    <t>ВСЕГО С НДС</t>
  </si>
  <si>
    <t>в т.ч. Вспомогательные материалы на монтаж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</si>
  <si>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</si>
  <si>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</si>
  <si>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</si>
  <si>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</si>
  <si>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</si>
  <si>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</si>
  <si>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Составил: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</si>
  <si>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</si>
  <si>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</si>
  <si>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</si>
  <si>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</si>
  <si>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</si>
  <si>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</si>
  <si>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</si>
  <si>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</si>
  <si>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</si>
  <si>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</si>
  <si>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</si>
  <si>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</si>
  <si>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</si>
  <si>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</si>
  <si>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</si>
  <si>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</si>
  <si>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</si>
  <si>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</si>
  <si>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</si>
  <si>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</si>
  <si>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</si>
  <si>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</si>
  <si>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</si>
  <si>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</si>
  <si>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</si>
  <si>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</si>
  <si>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</si>
  <si>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</si>
  <si>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</si>
  <si>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N = &lt; 1163/09 * 1163/09 * 1 &gt;</t>
  </si>
  <si>
    <t xml:space="preserve">          смену водосчетчиков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</si>
  <si>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</si>
  <si>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</si>
  <si>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</si>
  <si>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</si>
  <si>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</si>
  <si>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</si>
  <si>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</si>
  <si>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</si>
  <si>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</si>
  <si>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</si>
  <si>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</si>
  <si>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</si>
  <si>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</si>
  <si>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</si>
  <si>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</si>
  <si>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</si>
  <si>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</si>
  <si>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</si>
  <si>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</si>
  <si>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</si>
  <si>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</si>
  <si>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</si>
  <si>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</si>
  <si>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</si>
  <si>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</si>
  <si>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</si>
  <si>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</si>
  <si>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</si>
  <si>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</si>
  <si>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</si>
  <si>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</si>
  <si>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</si>
  <si>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</si>
  <si>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</si>
  <si>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</si>
  <si>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</si>
  <si>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</si>
  <si>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</si>
  <si>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</si>
  <si>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</si>
  <si>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</si>
  <si>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</si>
  <si>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</si>
  <si>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</si>
  <si>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</si>
  <si>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</si>
  <si>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</si>
  <si>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</si>
  <si>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</si>
  <si>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</si>
  <si>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</si>
  <si>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</si>
  <si>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</si>
  <si>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</si>
  <si>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</si>
  <si>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</si>
  <si>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</si>
  <si>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2</t>
  </si>
  <si>
    <t>4</t>
  </si>
  <si>
    <t>0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</si>
  <si>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</si>
  <si>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</si>
  <si>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</si>
  <si>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</si>
  <si>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</si>
  <si>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</si>
  <si>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</si>
  <si>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</si>
  <si>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</si>
  <si>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</si>
  <si>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</si>
  <si>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</si>
  <si>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</si>
  <si>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</si>
  <si>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3</t>
  </si>
  <si>
    <t>5</t>
  </si>
  <si>
    <t>6</t>
  </si>
  <si>
    <t>7</t>
  </si>
  <si>
    <t>8</t>
  </si>
  <si>
    <t>9</t>
  </si>
  <si>
    <t>!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</si>
  <si>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</si>
  <si>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</si>
  <si>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</si>
  <si>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</si>
  <si>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</si>
  <si>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</si>
  <si>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</si>
  <si>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</si>
  <si>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</si>
  <si>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</si>
  <si>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</si>
  <si>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</si>
  <si>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</si>
  <si>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</si>
  <si>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</si>
  <si>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</si>
  <si>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</si>
  <si>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</si>
  <si>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</si>
  <si>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</si>
  <si>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</si>
  <si>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</si>
  <si>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</si>
  <si>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</si>
  <si>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</si>
  <si>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</si>
  <si>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</si>
  <si>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</si>
  <si>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</si>
  <si>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</si>
  <si>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</si>
  <si>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</si>
  <si>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</si>
  <si>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</si>
  <si>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</si>
  <si>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</si>
  <si>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</si>
  <si>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</si>
  <si>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</si>
  <si>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</si>
  <si>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</si>
  <si>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</si>
  <si>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</si>
  <si>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</si>
  <si>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</si>
  <si>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</si>
  <si>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</si>
  <si>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</si>
  <si>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</si>
  <si>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</si>
  <si>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</si>
  <si>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</si>
  <si>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</si>
  <si>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</si>
  <si>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</si>
  <si>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</si>
  <si>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</si>
  <si>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</si>
  <si>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</si>
  <si>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</si>
  <si>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</si>
  <si>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</si>
  <si>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</si>
  <si>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</si>
  <si>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k</t>
  </si>
  <si>
    <t>74</t>
  </si>
  <si>
    <t>%</t>
  </si>
  <si>
    <t>75</t>
  </si>
  <si>
    <t>s</t>
  </si>
  <si>
    <t>76</t>
  </si>
  <si>
    <t>h</t>
  </si>
  <si>
    <t>77</t>
  </si>
  <si>
    <t>78</t>
  </si>
  <si>
    <t>79</t>
  </si>
  <si>
    <t>80</t>
  </si>
  <si>
    <t>81</t>
  </si>
  <si>
    <t>82</t>
  </si>
  <si>
    <t>83</t>
  </si>
  <si>
    <t>«______»____________________ 201__г.</t>
  </si>
  <si>
    <t>(Локальный сметный расчет)</t>
  </si>
  <si>
    <t>(должность, подпись, Ф.И.О)</t>
  </si>
  <si>
    <t xml:space="preserve">   Начисления: Н3(ЭМ)= 1.25, Н5(ОЗП)= 1.15</t>
  </si>
  <si>
    <t xml:space="preserve">   Начисления: Н3(ЭМ)= 0.4, Н5(ОЗП)= 0.4, Н48(М)= 0</t>
  </si>
  <si>
    <t xml:space="preserve">   Начисления: Н3(ЭМ)= 0.4, Н4(ЗПМ)= 0.4, Н5(ОЗП)= 0.4</t>
  </si>
  <si>
    <t xml:space="preserve">   Начисления: Н3(ЭМ)= 1.25, Н4(ЗПМ)= 1.25, Н5(ОЗП)= 1.15</t>
  </si>
  <si>
    <t xml:space="preserve">   Начисления: Н3(ЭМ)= 0.4, Н5(ОЗП)= 0.4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</si>
</sst>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;\-#,##0.00;"/>
    <numFmt numFmtId="167" formatCode="#,##0.00;\-#,##0.00;#,##0.00"/>
    <numFmt numFmtId="168" formatCode="#,##0.00######################"/>
    <numFmt numFmtId="169" formatCode="#,##0.00000000;\-#,##0.00000000;#,##0.00000000"/>
    <numFmt numFmtId="170" formatCode="#\ ###.#0"/>
  </numFmts>
  <fonts count="40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b/>
      <u val="single"/>
      <sz val="8"/>
      <name val="Verdana"/>
      <family val="0"/>
    </font>
    <font>
      <sz val="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56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64" fontId="0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0" xfId="0" applyNumberFormat="1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top" wrapText="1"/>
    </xf>
    <xf numFmtId="166" fontId="3" fillId="0" borderId="0" xfId="0" applyNumberFormat="1" applyFont="1" applyAlignment="1">
      <alignment horizontal="right" vertical="top" wrapText="1"/>
    </xf>
    <xf numFmtId="166" fontId="0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167" fontId="0" fillId="0" borderId="0" xfId="0" applyNumberFormat="1" applyFont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/>
    </xf>
    <xf numFmtId="166" fontId="5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 wrapText="1"/>
    </xf>
    <xf numFmtId="167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0" fillId="33" borderId="0" xfId="0" applyNumberFormat="1" applyFont="1" applyFill="1" applyBorder="1" applyAlignment="1">
      <alignment horizontal="right" vertical="top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164" fontId="0" fillId="33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center"/>
    </xf>
    <xf numFmtId="169" fontId="0" fillId="0" borderId="0" xfId="0" applyNumberFormat="1" applyFont="1" applyAlignment="1">
      <alignment horizontal="right" vertical="top"/>
    </xf>
    <xf numFmtId="170" fontId="2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left" vertical="top" wrapText="1"/>
    </xf>
    <xf numFmtId="49" fontId="0" fillId="0" borderId="13" xfId="0" applyNumberFormat="1" applyBorder="1" applyAlignment="1">
      <alignment horizontal="left" vertical="top"/>
    </xf>
    <xf numFmtId="49" fontId="0" fillId="0" borderId="13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right" vertical="top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 vertical="top" wrapText="1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right" vertical="top"/>
    </xf>
    <xf numFmtId="166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left" vertical="top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/>
    </xf>
    <xf numFmtId="166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right" vertical="top"/>
    </xf>
    <xf numFmtId="167" fontId="0" fillId="0" borderId="0" xfId="0" applyNumberFormat="1" applyFont="1" applyAlignment="1">
      <alignment horizontal="right" vertical="top"/>
    </xf>
    <xf numFmtId="49" fontId="2" fillId="33" borderId="0" xfId="0" applyNumberFormat="1" applyFont="1" applyFill="1" applyBorder="1" applyAlignment="1">
      <alignment horizontal="left" vertical="top"/>
    </xf>
    <xf numFmtId="164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right" vertical="top"/>
    </xf>
    <xf numFmtId="168" fontId="0" fillId="0" borderId="0" xfId="0" applyNumberFormat="1" applyFont="1" applyAlignment="1">
      <alignment horizontal="right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235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1" width="4.140625" style="1" customWidth="1"/>
    <col min="2" max="2" width="47.8515625" style="1" customWidth="1"/>
    <col min="3" max="3" width="9.421875" style="1" customWidth="1"/>
    <col min="4" max="5" width="12.00390625" style="1" customWidth="1"/>
    <col min="6" max="6" width="17.7109375" style="1" customWidth="1"/>
    <col min="7" max="8" width="12.00390625" style="1" customWidth="1"/>
    <col min="9" max="9" width="9.00390625" style="1" customWidth="1"/>
    <col min="10" max="10" width="12.00390625" style="1" customWidth="1"/>
    <col min="11" max="12" width="9.140625" style="1" hidden="1" customWidth="1"/>
    <col min="13" max="13" width="9.140625" style="1" customWidth="1"/>
    <col min="14" max="14" width="9.140625" style="1" hidden="1" customWidth="1"/>
    <col min="15" max="17" width="9.140625" style="1" customWidth="1"/>
    <col min="18" max="18" width="9.140625" style="1" hidden="1" customWidth="1"/>
    <col min="19" max="16384" width="9.140625" style="1" customWidth="1"/>
  </cols>
  <sheetData>
    <row r="1" spans="1:10" ht="10.5">
      <c r="A1" s="2"/>
      <c r="D1" s="2"/>
      <c r="J1" s="3" t="s">
        <v>0</v>
      </c>
    </row>
    <row r="3" spans="1:9" ht="10.5">
      <c r="A3" s="38" t="s">
        <v>1</v>
      </c>
      <c r="B3" s="38"/>
      <c r="C3" s="38"/>
      <c r="D3" s="38"/>
      <c r="F3" s="38" t="s">
        <v>2</v>
      </c>
      <c r="G3" s="38"/>
      <c r="H3" s="38"/>
      <c r="I3" s="38"/>
    </row>
    <row r="4" spans="1:9" ht="10.5" customHeight="1">
      <c r="A4" s="39" t="s">
        <v>3</v>
      </c>
      <c r="B4" s="39"/>
      <c r="C4" s="32" t="e">
        <f>F222</f>
        <v>#NAME?</v>
      </c>
      <c r="D4" s="33" t="s">
        <v>4</v>
      </c>
      <c r="F4" s="39" t="s">
        <v>3</v>
      </c>
      <c r="G4" s="39"/>
      <c r="H4" s="32" t="e">
        <f>F222</f>
        <v>#NAME?</v>
      </c>
      <c r="I4" s="33" t="s">
        <v>4</v>
      </c>
    </row>
    <row r="5" spans="1:9" ht="10.5">
      <c r="A5" s="40"/>
      <c r="B5" s="40"/>
      <c r="C5" s="40"/>
      <c r="D5" s="40"/>
      <c r="F5" s="40"/>
      <c r="G5" s="40"/>
      <c r="H5" s="40"/>
      <c r="I5" s="40"/>
    </row>
    <row r="6" spans="1:9" ht="10.5">
      <c r="A6" s="40"/>
      <c r="B6" s="40"/>
      <c r="C6" s="40"/>
      <c r="D6" s="40"/>
      <c r="F6" s="40"/>
      <c r="G6" s="40"/>
      <c r="H6" s="40"/>
      <c r="I6" s="40"/>
    </row>
    <row r="7" spans="1:9" ht="10.5">
      <c r="A7" s="39" t="s">
        <v>5</v>
      </c>
      <c r="B7" s="39"/>
      <c r="C7" s="39"/>
      <c r="D7" s="39"/>
      <c r="F7" s="39" t="s">
        <v>5</v>
      </c>
      <c r="G7" s="39"/>
      <c r="H7" s="39"/>
      <c r="I7" s="39"/>
    </row>
    <row r="8" spans="1:9" ht="10.5">
      <c r="A8" s="40"/>
      <c r="B8" s="40"/>
      <c r="C8" s="40"/>
      <c r="D8" s="40"/>
      <c r="F8" s="40"/>
      <c r="G8" s="40"/>
      <c r="H8" s="40"/>
      <c r="I8" s="40"/>
    </row>
    <row r="9" spans="1:9" ht="10.5">
      <c r="A9" s="44" t="s">
        <v>322</v>
      </c>
      <c r="B9" s="39"/>
      <c r="C9" s="39"/>
      <c r="D9" s="39"/>
      <c r="F9" s="44" t="s">
        <v>322</v>
      </c>
      <c r="G9" s="39"/>
      <c r="H9" s="39"/>
      <c r="I9" s="39"/>
    </row>
    <row r="12" spans="2:3" ht="10.5">
      <c r="B12" s="5" t="s">
        <v>6</v>
      </c>
      <c r="C12" s="6" t="s">
        <v>7</v>
      </c>
    </row>
    <row r="13" spans="1:10" ht="10.5">
      <c r="A13" s="45" t="s">
        <v>8</v>
      </c>
      <c r="B13" s="45"/>
      <c r="C13" s="45"/>
      <c r="D13" s="45"/>
      <c r="E13" s="45"/>
      <c r="F13" s="45"/>
      <c r="G13" s="45"/>
      <c r="H13" s="45"/>
      <c r="I13" s="45"/>
      <c r="J13" s="45"/>
    </row>
    <row r="14" spans="1:10" ht="10.5">
      <c r="A14" s="46" t="s">
        <v>323</v>
      </c>
      <c r="B14" s="46"/>
      <c r="C14" s="46"/>
      <c r="D14" s="46"/>
      <c r="E14" s="46"/>
      <c r="F14" s="46"/>
      <c r="G14" s="46"/>
      <c r="H14" s="46"/>
      <c r="I14" s="46"/>
      <c r="J14" s="46"/>
    </row>
    <row r="15" spans="1:10" ht="10.5">
      <c r="A15" s="46" t="s">
        <v>9</v>
      </c>
      <c r="B15" s="46"/>
      <c r="C15" s="46"/>
      <c r="D15" s="46"/>
      <c r="E15" s="46"/>
      <c r="F15" s="46"/>
      <c r="G15" s="46"/>
      <c r="H15" s="46"/>
      <c r="I15" s="46"/>
      <c r="J15" s="46"/>
    </row>
    <row r="16" spans="2:3" ht="10.5">
      <c r="B16" s="5" t="s">
        <v>10</v>
      </c>
      <c r="C16" s="6" t="s">
        <v>11</v>
      </c>
    </row>
    <row r="17" spans="7:10" ht="10.5">
      <c r="G17" s="5" t="s">
        <v>12</v>
      </c>
      <c r="H17" s="47" t="e">
        <f>TEXT((F216)/1000,"# ##0"&amp;GetSeparator()&amp;"000")</f>
        <v>#NAME?</v>
      </c>
      <c r="I17" s="47"/>
      <c r="J17" s="8" t="s">
        <v>13</v>
      </c>
    </row>
    <row r="18" spans="7:10" ht="10.5">
      <c r="G18" s="5" t="s">
        <v>14</v>
      </c>
      <c r="H18" s="47" t="e">
        <f>TEXT((J229)/1000,"# ##0"&amp;GetSeparator()&amp;"000")</f>
        <v>#NAME?</v>
      </c>
      <c r="I18" s="47"/>
      <c r="J18" s="8" t="s">
        <v>15</v>
      </c>
    </row>
    <row r="19" spans="7:10" ht="10.5">
      <c r="G19" s="5" t="s">
        <v>16</v>
      </c>
      <c r="H19" s="47" t="e">
        <f>TEXT((F226)/1000,"# ##0"&amp;GetSeparator()&amp;"000")</f>
        <v>#NAME?</v>
      </c>
      <c r="I19" s="47"/>
      <c r="J19" s="8" t="s">
        <v>13</v>
      </c>
    </row>
    <row r="20" spans="1:10" ht="10.5">
      <c r="A20" s="49" t="s">
        <v>17</v>
      </c>
      <c r="B20" s="49"/>
      <c r="C20" s="49"/>
      <c r="D20" s="49"/>
      <c r="E20" s="49"/>
      <c r="F20" s="49"/>
      <c r="G20" s="49"/>
      <c r="H20" s="49"/>
      <c r="I20" s="49"/>
      <c r="J20" s="49"/>
    </row>
    <row r="21" ht="4.5" customHeight="1"/>
    <row r="22" spans="1:10" ht="43.5" customHeight="1">
      <c r="A22" s="50" t="s">
        <v>18</v>
      </c>
      <c r="B22" s="50" t="s">
        <v>19</v>
      </c>
      <c r="C22" s="50" t="s">
        <v>20</v>
      </c>
      <c r="D22" s="41" t="s">
        <v>21</v>
      </c>
      <c r="E22" s="43"/>
      <c r="F22" s="41" t="s">
        <v>22</v>
      </c>
      <c r="G22" s="42"/>
      <c r="H22" s="43"/>
      <c r="I22" s="41" t="s">
        <v>23</v>
      </c>
      <c r="J22" s="43"/>
    </row>
    <row r="23" spans="1:10" ht="21.75" customHeight="1">
      <c r="A23" s="51"/>
      <c r="B23" s="51"/>
      <c r="C23" s="51"/>
      <c r="D23" s="9" t="s">
        <v>24</v>
      </c>
      <c r="E23" s="9" t="s">
        <v>25</v>
      </c>
      <c r="F23" s="50" t="s">
        <v>24</v>
      </c>
      <c r="G23" s="50" t="s">
        <v>26</v>
      </c>
      <c r="H23" s="9" t="s">
        <v>25</v>
      </c>
      <c r="I23" s="41" t="s">
        <v>27</v>
      </c>
      <c r="J23" s="43"/>
    </row>
    <row r="24" spans="1:10" ht="43.5" customHeight="1">
      <c r="A24" s="52"/>
      <c r="B24" s="52"/>
      <c r="C24" s="52"/>
      <c r="D24" s="9" t="s">
        <v>26</v>
      </c>
      <c r="E24" s="9" t="s">
        <v>28</v>
      </c>
      <c r="F24" s="52"/>
      <c r="G24" s="52"/>
      <c r="H24" s="9" t="s">
        <v>28</v>
      </c>
      <c r="I24" s="9" t="s">
        <v>29</v>
      </c>
      <c r="J24" s="9" t="s">
        <v>24</v>
      </c>
    </row>
    <row r="25" spans="1:10" ht="10.5">
      <c r="A25" s="10">
        <v>1</v>
      </c>
      <c r="B25" s="10">
        <v>2</v>
      </c>
      <c r="C25" s="10">
        <v>3</v>
      </c>
      <c r="D25" s="10">
        <v>4</v>
      </c>
      <c r="E25" s="10">
        <v>5</v>
      </c>
      <c r="F25" s="10">
        <v>6</v>
      </c>
      <c r="G25" s="10">
        <v>7</v>
      </c>
      <c r="H25" s="10">
        <v>8</v>
      </c>
      <c r="I25" s="10">
        <v>9</v>
      </c>
      <c r="J25" s="10">
        <v>10</v>
      </c>
    </row>
    <row r="26" spans="1:14" ht="10.5">
      <c r="A26" s="39" t="s">
        <v>30</v>
      </c>
      <c r="B26" s="38" t="s">
        <v>31</v>
      </c>
      <c r="C26" s="40">
        <v>1</v>
      </c>
      <c r="D26" s="11">
        <f>'Базовые цены за единицу'!B6</f>
        <v>2.33</v>
      </c>
      <c r="E26" s="11">
        <v>0.38</v>
      </c>
      <c r="F26" s="48">
        <f>'Базовые цены с учетом расхода'!B6</f>
        <v>2.33</v>
      </c>
      <c r="G26" s="48">
        <f>'Базовые цены с учетом расхода'!C6</f>
        <v>1.95</v>
      </c>
      <c r="H26" s="11">
        <f>'Базовые цены с учетом расхода'!D6</f>
        <v>0.38</v>
      </c>
      <c r="I26" s="13">
        <v>0.164</v>
      </c>
      <c r="J26" s="13" t="e">
        <f>'Базовые цены с учетом расхода'!I6</f>
        <v>#NAME?</v>
      </c>
      <c r="K26" s="1" t="s">
        <v>32</v>
      </c>
      <c r="L26" s="1" t="s">
        <v>33</v>
      </c>
      <c r="N26" s="48">
        <f>'Базовые цены с учетом расхода'!F6</f>
        <v>0</v>
      </c>
    </row>
    <row r="27" spans="1:14" ht="33" customHeight="1">
      <c r="A27" s="40"/>
      <c r="B27" s="40"/>
      <c r="C27" s="40"/>
      <c r="D27" s="12">
        <v>1.95</v>
      </c>
      <c r="E27" s="12"/>
      <c r="F27" s="48"/>
      <c r="G27" s="48"/>
      <c r="H27" s="12">
        <f>'Базовые цены с учетом расхода'!E6</f>
        <v>0</v>
      </c>
      <c r="J27" s="1" t="e">
        <f>'Базовые цены с учетом расхода'!K6</f>
        <v>#NAME?</v>
      </c>
      <c r="K27" s="1" t="s">
        <v>34</v>
      </c>
      <c r="L27" s="1" t="s">
        <v>35</v>
      </c>
      <c r="N27" s="48"/>
    </row>
    <row r="28" spans="2:10" ht="10.5">
      <c r="B28" s="53" t="s">
        <v>326</v>
      </c>
      <c r="C28" s="53"/>
      <c r="D28" s="53"/>
      <c r="E28" s="53"/>
      <c r="F28" s="53"/>
      <c r="G28" s="53"/>
      <c r="H28" s="53"/>
      <c r="I28" s="53"/>
      <c r="J28" s="53"/>
    </row>
    <row r="29" spans="2:12" ht="10.5" hidden="1">
      <c r="B29" s="14" t="s">
        <v>36</v>
      </c>
      <c r="C29" s="1">
        <v>115</v>
      </c>
      <c r="F29" s="15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2.24</v>
      </c>
      <c r="L29" s="4" t="s">
        <v>37</v>
      </c>
    </row>
    <row r="30" spans="2:12" ht="10.5" hidden="1">
      <c r="B30" s="14" t="s">
        <v>38</v>
      </c>
      <c r="F30" s="15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2.24</v>
      </c>
      <c r="L30" s="4" t="s">
        <v>39</v>
      </c>
    </row>
    <row r="31" spans="2:12" ht="10.5" hidden="1">
      <c r="B31" s="14" t="s">
        <v>40</v>
      </c>
      <c r="F31" s="15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2.24</v>
      </c>
      <c r="L31" s="4" t="s">
        <v>41</v>
      </c>
    </row>
    <row r="32" spans="2:12" ht="10.5" hidden="1">
      <c r="B32" s="14" t="s">
        <v>42</v>
      </c>
      <c r="C32" s="1">
        <v>71</v>
      </c>
      <c r="F32" s="15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1.38</v>
      </c>
      <c r="L32" s="4" t="s">
        <v>43</v>
      </c>
    </row>
    <row r="33" spans="2:12" ht="10.5" hidden="1">
      <c r="B33" s="14" t="s">
        <v>44</v>
      </c>
      <c r="F33" s="15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1.38</v>
      </c>
      <c r="L33" s="4" t="s">
        <v>45</v>
      </c>
    </row>
    <row r="34" spans="2:12" ht="10.5" hidden="1">
      <c r="B34" s="14" t="s">
        <v>46</v>
      </c>
      <c r="F34" s="15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1.38</v>
      </c>
      <c r="L34" s="4" t="s">
        <v>47</v>
      </c>
    </row>
    <row r="35" spans="1:10" ht="10.5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4" ht="10.5">
      <c r="A36" s="39" t="s">
        <v>48</v>
      </c>
      <c r="B36" s="38" t="s">
        <v>49</v>
      </c>
      <c r="C36" s="40">
        <v>1</v>
      </c>
      <c r="D36" s="11">
        <f>'Базовые цены за единицу'!B7</f>
        <v>7.9</v>
      </c>
      <c r="E36" s="11">
        <v>1.2</v>
      </c>
      <c r="F36" s="48">
        <f>'Базовые цены с учетом расхода'!B7</f>
        <v>7.9</v>
      </c>
      <c r="G36" s="48">
        <f>'Базовые цены с учетом расхода'!C7</f>
        <v>5.61</v>
      </c>
      <c r="H36" s="11">
        <f>'Базовые цены с учетом расхода'!D7</f>
        <v>1.2</v>
      </c>
      <c r="I36" s="13">
        <v>0.4715</v>
      </c>
      <c r="J36" s="13" t="e">
        <f>'Базовые цены с учетом расхода'!I7</f>
        <v>#NAME?</v>
      </c>
      <c r="K36" s="1" t="s">
        <v>32</v>
      </c>
      <c r="L36" s="1" t="s">
        <v>33</v>
      </c>
      <c r="N36" s="48">
        <f>'Базовые цены с учетом расхода'!F7</f>
        <v>1.09</v>
      </c>
    </row>
    <row r="37" spans="1:14" ht="33" customHeight="1">
      <c r="A37" s="40"/>
      <c r="B37" s="40"/>
      <c r="C37" s="40"/>
      <c r="D37" s="12">
        <v>5.61</v>
      </c>
      <c r="E37" s="12"/>
      <c r="F37" s="48"/>
      <c r="G37" s="48"/>
      <c r="H37" s="12">
        <f>'Базовые цены с учетом расхода'!E7</f>
        <v>0</v>
      </c>
      <c r="J37" s="1" t="e">
        <f>'Базовые цены с учетом расхода'!K7</f>
        <v>#NAME?</v>
      </c>
      <c r="K37" s="1" t="s">
        <v>34</v>
      </c>
      <c r="L37" s="1" t="s">
        <v>35</v>
      </c>
      <c r="N37" s="48"/>
    </row>
    <row r="38" spans="2:10" ht="10.5">
      <c r="B38" s="53" t="s">
        <v>325</v>
      </c>
      <c r="C38" s="53"/>
      <c r="D38" s="53"/>
      <c r="E38" s="53"/>
      <c r="F38" s="53"/>
      <c r="G38" s="53"/>
      <c r="H38" s="53"/>
      <c r="I38" s="53"/>
      <c r="J38" s="53"/>
    </row>
    <row r="39" spans="2:12" ht="10.5" hidden="1">
      <c r="B39" s="14" t="s">
        <v>36</v>
      </c>
      <c r="C39" s="1">
        <v>115</v>
      </c>
      <c r="F39" s="15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6.45</v>
      </c>
      <c r="L39" s="4" t="s">
        <v>37</v>
      </c>
    </row>
    <row r="40" spans="2:12" ht="10.5" hidden="1">
      <c r="B40" s="14" t="s">
        <v>38</v>
      </c>
      <c r="F40" s="15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6.45</v>
      </c>
      <c r="L40" s="4" t="s">
        <v>39</v>
      </c>
    </row>
    <row r="41" spans="2:12" ht="10.5" hidden="1">
      <c r="B41" s="14" t="s">
        <v>40</v>
      </c>
      <c r="F41" s="15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6.45</v>
      </c>
      <c r="L41" s="4" t="s">
        <v>41</v>
      </c>
    </row>
    <row r="42" spans="2:12" ht="10.5" hidden="1">
      <c r="B42" s="14" t="s">
        <v>42</v>
      </c>
      <c r="C42" s="1">
        <v>71</v>
      </c>
      <c r="F42" s="15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3.98</v>
      </c>
      <c r="L42" s="4" t="s">
        <v>43</v>
      </c>
    </row>
    <row r="43" spans="2:12" ht="10.5" hidden="1">
      <c r="B43" s="14" t="s">
        <v>44</v>
      </c>
      <c r="F43" s="15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3.98</v>
      </c>
      <c r="L43" s="4" t="s">
        <v>45</v>
      </c>
    </row>
    <row r="44" spans="2:12" ht="10.5" hidden="1">
      <c r="B44" s="14" t="s">
        <v>46</v>
      </c>
      <c r="F44" s="15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3.98</v>
      </c>
      <c r="L44" s="4" t="s">
        <v>47</v>
      </c>
    </row>
    <row r="45" spans="1:10" ht="10.5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4" ht="10.5">
      <c r="A46" s="39" t="s">
        <v>50</v>
      </c>
      <c r="B46" s="38" t="s">
        <v>51</v>
      </c>
      <c r="C46" s="40">
        <v>1</v>
      </c>
      <c r="D46" s="11">
        <f>'Базовые цены за единицу'!B8</f>
        <v>152.96</v>
      </c>
      <c r="E46" s="11"/>
      <c r="F46" s="48">
        <f>'Базовые цены с учетом расхода'!B8</f>
        <v>152.96</v>
      </c>
      <c r="G46" s="48">
        <f>'Базовые цены с учетом расхода'!C8</f>
        <v>0</v>
      </c>
      <c r="H46" s="11">
        <f>'Базовые цены с учетом расхода'!D8</f>
        <v>0</v>
      </c>
      <c r="I46" s="13"/>
      <c r="J46" s="13" t="e">
        <f>'Базовые цены с учетом расхода'!I8</f>
        <v>#NAME?</v>
      </c>
      <c r="K46" s="1" t="s">
        <v>32</v>
      </c>
      <c r="L46" s="1" t="s">
        <v>33</v>
      </c>
      <c r="N46" s="48">
        <f>'Базовые цены с учетом расхода'!F8</f>
        <v>152.96</v>
      </c>
    </row>
    <row r="47" spans="1:14" ht="33" customHeight="1">
      <c r="A47" s="40"/>
      <c r="B47" s="40"/>
      <c r="C47" s="40"/>
      <c r="D47" s="12"/>
      <c r="E47" s="12"/>
      <c r="F47" s="48"/>
      <c r="G47" s="48"/>
      <c r="H47" s="12">
        <f>'Базовые цены с учетом расхода'!E8</f>
        <v>0</v>
      </c>
      <c r="J47" s="1" t="e">
        <f>'Базовые цены с учетом расхода'!K8</f>
        <v>#NAME?</v>
      </c>
      <c r="K47" s="1" t="s">
        <v>34</v>
      </c>
      <c r="L47" s="1" t="s">
        <v>35</v>
      </c>
      <c r="N47" s="48"/>
    </row>
    <row r="48" spans="2:10" ht="10.5">
      <c r="B48" s="53" t="s">
        <v>52</v>
      </c>
      <c r="C48" s="53"/>
      <c r="D48" s="53"/>
      <c r="E48" s="53"/>
      <c r="F48" s="53"/>
      <c r="G48" s="53"/>
      <c r="H48" s="53"/>
      <c r="I48" s="53"/>
      <c r="J48" s="53"/>
    </row>
    <row r="49" spans="2:12" ht="10.5" hidden="1">
      <c r="B49" s="14" t="s">
        <v>36</v>
      </c>
      <c r="C49" s="1">
        <v>0</v>
      </c>
      <c r="F49" s="15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</c>
      <c r="L49" s="4" t="s">
        <v>37</v>
      </c>
    </row>
    <row r="50" spans="2:12" ht="10.5" hidden="1">
      <c r="B50" s="14" t="s">
        <v>38</v>
      </c>
      <c r="F50" s="15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</c>
      <c r="L50" s="4" t="s">
        <v>39</v>
      </c>
    </row>
    <row r="51" spans="2:12" ht="10.5" hidden="1">
      <c r="B51" s="14" t="s">
        <v>40</v>
      </c>
      <c r="F51" s="15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</c>
      <c r="L51" s="4" t="s">
        <v>41</v>
      </c>
    </row>
    <row r="52" spans="2:12" ht="10.5" hidden="1">
      <c r="B52" s="14" t="s">
        <v>42</v>
      </c>
      <c r="C52" s="1">
        <v>0</v>
      </c>
      <c r="F52" s="15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</c>
      <c r="L52" s="4" t="s">
        <v>43</v>
      </c>
    </row>
    <row r="53" spans="2:12" ht="10.5" hidden="1">
      <c r="B53" s="14" t="s">
        <v>44</v>
      </c>
      <c r="F53" s="15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</c>
      <c r="L53" s="4" t="s">
        <v>45</v>
      </c>
    </row>
    <row r="54" spans="2:12" ht="10.5" hidden="1">
      <c r="B54" s="14" t="s">
        <v>46</v>
      </c>
      <c r="F54" s="15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</c>
      <c r="L54" s="4" t="s">
        <v>47</v>
      </c>
    </row>
    <row r="55" spans="1:10" ht="10.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4" ht="10.5">
      <c r="A56" s="39" t="s">
        <v>53</v>
      </c>
      <c r="B56" s="38" t="s">
        <v>54</v>
      </c>
      <c r="C56" s="40">
        <v>1</v>
      </c>
      <c r="D56" s="11">
        <f>'Базовые цены за единицу'!B9</f>
        <v>6.16</v>
      </c>
      <c r="E56" s="11">
        <v>2.27</v>
      </c>
      <c r="F56" s="48">
        <f>'Базовые цены с учетом расхода'!B9</f>
        <v>6.16</v>
      </c>
      <c r="G56" s="48">
        <f>'Базовые цены с учетом расхода'!C9</f>
        <v>3.89</v>
      </c>
      <c r="H56" s="11">
        <f>'Базовые цены с учетом расхода'!D9</f>
        <v>2.27</v>
      </c>
      <c r="I56" s="13">
        <v>0.3272</v>
      </c>
      <c r="J56" s="13" t="e">
        <f>'Базовые цены с учетом расхода'!I9</f>
        <v>#NAME?</v>
      </c>
      <c r="K56" s="1" t="s">
        <v>32</v>
      </c>
      <c r="L56" s="1" t="s">
        <v>33</v>
      </c>
      <c r="N56" s="48">
        <f>'Базовые цены с учетом расхода'!F9</f>
        <v>0</v>
      </c>
    </row>
    <row r="57" spans="1:14" ht="43.5" customHeight="1">
      <c r="A57" s="40"/>
      <c r="B57" s="40"/>
      <c r="C57" s="40"/>
      <c r="D57" s="12">
        <v>3.89</v>
      </c>
      <c r="E57" s="12">
        <v>0.01</v>
      </c>
      <c r="F57" s="48"/>
      <c r="G57" s="48"/>
      <c r="H57" s="12">
        <f>'Базовые цены с учетом расхода'!E9</f>
        <v>0.01</v>
      </c>
      <c r="I57" s="1">
        <v>0.0004</v>
      </c>
      <c r="J57" s="1" t="e">
        <f>'Базовые цены с учетом расхода'!K9</f>
        <v>#NAME?</v>
      </c>
      <c r="K57" s="1" t="s">
        <v>34</v>
      </c>
      <c r="L57" s="1" t="s">
        <v>35</v>
      </c>
      <c r="N57" s="48"/>
    </row>
    <row r="58" spans="2:10" ht="10.5">
      <c r="B58" s="53" t="s">
        <v>55</v>
      </c>
      <c r="C58" s="53"/>
      <c r="D58" s="53"/>
      <c r="E58" s="53"/>
      <c r="F58" s="53"/>
      <c r="G58" s="53"/>
      <c r="H58" s="53"/>
      <c r="I58" s="53"/>
      <c r="J58" s="53"/>
    </row>
    <row r="59" spans="2:10" ht="10.5">
      <c r="B59" s="53" t="s">
        <v>327</v>
      </c>
      <c r="C59" s="53"/>
      <c r="D59" s="53"/>
      <c r="E59" s="53"/>
      <c r="F59" s="53"/>
      <c r="G59" s="53"/>
      <c r="H59" s="53"/>
      <c r="I59" s="53"/>
      <c r="J59" s="53"/>
    </row>
    <row r="60" spans="2:12" ht="10.5" hidden="1">
      <c r="B60" s="14" t="s">
        <v>36</v>
      </c>
      <c r="C60" s="1">
        <v>115</v>
      </c>
      <c r="F60" s="15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4.49</v>
      </c>
      <c r="L60" s="4" t="s">
        <v>37</v>
      </c>
    </row>
    <row r="61" spans="2:12" ht="10.5" hidden="1">
      <c r="B61" s="14" t="s">
        <v>38</v>
      </c>
      <c r="F61" s="15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4.49</v>
      </c>
      <c r="L61" s="4" t="s">
        <v>39</v>
      </c>
    </row>
    <row r="62" spans="2:12" ht="10.5" hidden="1">
      <c r="B62" s="14" t="s">
        <v>40</v>
      </c>
      <c r="F62" s="15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4.49</v>
      </c>
      <c r="L62" s="4" t="s">
        <v>41</v>
      </c>
    </row>
    <row r="63" spans="2:12" ht="10.5" hidden="1">
      <c r="B63" s="14" t="s">
        <v>42</v>
      </c>
      <c r="C63" s="1">
        <v>71</v>
      </c>
      <c r="F63" s="15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2.77</v>
      </c>
      <c r="L63" s="4" t="s">
        <v>43</v>
      </c>
    </row>
    <row r="64" spans="2:12" ht="10.5" hidden="1">
      <c r="B64" s="14" t="s">
        <v>44</v>
      </c>
      <c r="F64" s="15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2.77</v>
      </c>
      <c r="L64" s="4" t="s">
        <v>45</v>
      </c>
    </row>
    <row r="65" spans="2:12" ht="10.5" hidden="1">
      <c r="B65" s="14" t="s">
        <v>46</v>
      </c>
      <c r="F65" s="15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2.77</v>
      </c>
      <c r="L65" s="4" t="s">
        <v>47</v>
      </c>
    </row>
    <row r="66" spans="1:10" ht="10.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4" ht="10.5">
      <c r="A67" s="39" t="s">
        <v>56</v>
      </c>
      <c r="B67" s="38" t="s">
        <v>57</v>
      </c>
      <c r="C67" s="40">
        <v>1</v>
      </c>
      <c r="D67" s="11">
        <f>'Базовые цены за единицу'!B10</f>
        <v>19.04</v>
      </c>
      <c r="E67" s="11">
        <v>7.1</v>
      </c>
      <c r="F67" s="48">
        <f>'Базовые цены с учетом расхода'!B10</f>
        <v>19.04</v>
      </c>
      <c r="G67" s="48">
        <f>'Базовые цены с учетом расхода'!C10</f>
        <v>11.19</v>
      </c>
      <c r="H67" s="11">
        <f>'Базовые цены с учетом расхода'!D10</f>
        <v>7.1</v>
      </c>
      <c r="I67" s="13">
        <v>0.9407</v>
      </c>
      <c r="J67" s="13" t="e">
        <f>'Базовые цены с учетом расхода'!I10</f>
        <v>#NAME?</v>
      </c>
      <c r="K67" s="1" t="s">
        <v>32</v>
      </c>
      <c r="L67" s="1" t="s">
        <v>33</v>
      </c>
      <c r="N67" s="48">
        <f>'Базовые цены с учетом расхода'!F10</f>
        <v>0.75</v>
      </c>
    </row>
    <row r="68" spans="1:14" ht="43.5" customHeight="1">
      <c r="A68" s="40"/>
      <c r="B68" s="40"/>
      <c r="C68" s="40"/>
      <c r="D68" s="12">
        <v>11.19</v>
      </c>
      <c r="E68" s="12">
        <v>0.03</v>
      </c>
      <c r="F68" s="48"/>
      <c r="G68" s="48"/>
      <c r="H68" s="12">
        <f>'Базовые цены с учетом расхода'!E10</f>
        <v>0.03</v>
      </c>
      <c r="I68" s="1">
        <v>0.00125</v>
      </c>
      <c r="J68" s="1" t="e">
        <f>'Базовые цены с учетом расхода'!K10</f>
        <v>#NAME?</v>
      </c>
      <c r="K68" s="1" t="s">
        <v>34</v>
      </c>
      <c r="L68" s="1" t="s">
        <v>35</v>
      </c>
      <c r="N68" s="48"/>
    </row>
    <row r="69" spans="2:10" ht="10.5">
      <c r="B69" s="53" t="s">
        <v>58</v>
      </c>
      <c r="C69" s="53"/>
      <c r="D69" s="53"/>
      <c r="E69" s="53"/>
      <c r="F69" s="53"/>
      <c r="G69" s="53"/>
      <c r="H69" s="53"/>
      <c r="I69" s="53"/>
      <c r="J69" s="53"/>
    </row>
    <row r="70" spans="2:10" ht="10.5">
      <c r="B70" s="53" t="s">
        <v>328</v>
      </c>
      <c r="C70" s="53"/>
      <c r="D70" s="53"/>
      <c r="E70" s="53"/>
      <c r="F70" s="53"/>
      <c r="G70" s="53"/>
      <c r="H70" s="53"/>
      <c r="I70" s="53"/>
      <c r="J70" s="53"/>
    </row>
    <row r="71" spans="2:12" ht="10.5" hidden="1">
      <c r="B71" s="14" t="s">
        <v>36</v>
      </c>
      <c r="C71" s="1">
        <v>115</v>
      </c>
      <c r="F71" s="15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12.9</v>
      </c>
      <c r="L71" s="4" t="s">
        <v>37</v>
      </c>
    </row>
    <row r="72" spans="2:12" ht="10.5" hidden="1">
      <c r="B72" s="14" t="s">
        <v>38</v>
      </c>
      <c r="F72" s="15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12.9</v>
      </c>
      <c r="L72" s="4" t="s">
        <v>39</v>
      </c>
    </row>
    <row r="73" spans="2:12" ht="10.5" hidden="1">
      <c r="B73" s="14" t="s">
        <v>40</v>
      </c>
      <c r="F73" s="15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12.9</v>
      </c>
      <c r="L73" s="4" t="s">
        <v>41</v>
      </c>
    </row>
    <row r="74" spans="2:12" ht="10.5" hidden="1">
      <c r="B74" s="14" t="s">
        <v>42</v>
      </c>
      <c r="C74" s="1">
        <v>71</v>
      </c>
      <c r="F74" s="15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7.97</v>
      </c>
      <c r="L74" s="4" t="s">
        <v>43</v>
      </c>
    </row>
    <row r="75" spans="2:12" ht="10.5" hidden="1">
      <c r="B75" s="14" t="s">
        <v>44</v>
      </c>
      <c r="F75" s="15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7.97</v>
      </c>
      <c r="L75" s="4" t="s">
        <v>45</v>
      </c>
    </row>
    <row r="76" spans="2:12" ht="10.5" hidden="1">
      <c r="B76" s="14" t="s">
        <v>46</v>
      </c>
      <c r="F76" s="15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7.97</v>
      </c>
      <c r="L76" s="4" t="s">
        <v>47</v>
      </c>
    </row>
    <row r="77" spans="1:10" ht="10.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4" ht="10.5">
      <c r="A78" s="39" t="s">
        <v>59</v>
      </c>
      <c r="B78" s="38" t="s">
        <v>60</v>
      </c>
      <c r="C78" s="40">
        <v>1</v>
      </c>
      <c r="D78" s="11">
        <f>'Базовые цены за единицу'!B11</f>
        <v>39.47</v>
      </c>
      <c r="E78" s="11"/>
      <c r="F78" s="48">
        <f>'Базовые цены с учетом расхода'!B11</f>
        <v>39.47</v>
      </c>
      <c r="G78" s="48">
        <f>'Базовые цены с учетом расхода'!C11</f>
        <v>0</v>
      </c>
      <c r="H78" s="11">
        <f>'Базовые цены с учетом расхода'!D11</f>
        <v>0</v>
      </c>
      <c r="I78" s="13"/>
      <c r="J78" s="13" t="e">
        <f>'Базовые цены с учетом расхода'!I11</f>
        <v>#NAME?</v>
      </c>
      <c r="K78" s="1" t="s">
        <v>32</v>
      </c>
      <c r="L78" s="1" t="s">
        <v>33</v>
      </c>
      <c r="N78" s="48">
        <f>'Базовые цены с учетом расхода'!F11</f>
        <v>39.47</v>
      </c>
    </row>
    <row r="79" spans="1:14" ht="33" customHeight="1">
      <c r="A79" s="40"/>
      <c r="B79" s="40"/>
      <c r="C79" s="40"/>
      <c r="D79" s="12"/>
      <c r="E79" s="12"/>
      <c r="F79" s="48"/>
      <c r="G79" s="48"/>
      <c r="H79" s="12">
        <f>'Базовые цены с учетом расхода'!E11</f>
        <v>0</v>
      </c>
      <c r="J79" s="1" t="e">
        <f>'Базовые цены с учетом расхода'!K11</f>
        <v>#NAME?</v>
      </c>
      <c r="K79" s="1" t="s">
        <v>34</v>
      </c>
      <c r="L79" s="1" t="s">
        <v>35</v>
      </c>
      <c r="N79" s="48"/>
    </row>
    <row r="80" spans="2:10" ht="10.5">
      <c r="B80" s="53" t="s">
        <v>52</v>
      </c>
      <c r="C80" s="53"/>
      <c r="D80" s="53"/>
      <c r="E80" s="53"/>
      <c r="F80" s="53"/>
      <c r="G80" s="53"/>
      <c r="H80" s="53"/>
      <c r="I80" s="53"/>
      <c r="J80" s="53"/>
    </row>
    <row r="81" spans="2:12" ht="10.5" hidden="1">
      <c r="B81" s="14" t="s">
        <v>36</v>
      </c>
      <c r="C81" s="1">
        <v>0</v>
      </c>
      <c r="F81" s="15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</c>
      <c r="L81" s="4" t="s">
        <v>37</v>
      </c>
    </row>
    <row r="82" spans="2:12" ht="10.5" hidden="1">
      <c r="B82" s="14" t="s">
        <v>38</v>
      </c>
      <c r="F82" s="15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</c>
      <c r="L82" s="4" t="s">
        <v>39</v>
      </c>
    </row>
    <row r="83" spans="2:12" ht="10.5" hidden="1">
      <c r="B83" s="14" t="s">
        <v>40</v>
      </c>
      <c r="F83" s="15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</c>
      <c r="L83" s="4" t="s">
        <v>41</v>
      </c>
    </row>
    <row r="84" spans="2:12" ht="10.5" hidden="1">
      <c r="B84" s="14" t="s">
        <v>42</v>
      </c>
      <c r="C84" s="1">
        <v>0</v>
      </c>
      <c r="F84" s="15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</c>
      <c r="L84" s="4" t="s">
        <v>43</v>
      </c>
    </row>
    <row r="85" spans="2:12" ht="10.5" hidden="1">
      <c r="B85" s="14" t="s">
        <v>44</v>
      </c>
      <c r="F85" s="15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</c>
      <c r="L85" s="4" t="s">
        <v>45</v>
      </c>
    </row>
    <row r="86" spans="2:12" ht="10.5" hidden="1">
      <c r="B86" s="14" t="s">
        <v>46</v>
      </c>
      <c r="F86" s="15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</c>
      <c r="L86" s="4" t="s">
        <v>47</v>
      </c>
    </row>
    <row r="87" spans="1:10" ht="10.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4" ht="10.5">
      <c r="A88" s="39" t="s">
        <v>61</v>
      </c>
      <c r="B88" s="38" t="s">
        <v>62</v>
      </c>
      <c r="C88" s="40">
        <v>1</v>
      </c>
      <c r="D88" s="11">
        <f>'Базовые цены за единицу'!B12</f>
        <v>25.43</v>
      </c>
      <c r="E88" s="11">
        <v>1.98</v>
      </c>
      <c r="F88" s="48">
        <f>'Базовые цены с учетом расхода'!B12</f>
        <v>25.43</v>
      </c>
      <c r="G88" s="48">
        <f>'Базовые цены с учетом расхода'!C12</f>
        <v>22.37</v>
      </c>
      <c r="H88" s="11">
        <f>'Базовые цены с учетом расхода'!D12</f>
        <v>1.98</v>
      </c>
      <c r="I88" s="13">
        <v>1.784</v>
      </c>
      <c r="J88" s="13" t="e">
        <f>'Базовые цены с учетом расхода'!I12</f>
        <v>#NAME?</v>
      </c>
      <c r="K88" s="1" t="s">
        <v>32</v>
      </c>
      <c r="L88" s="1" t="s">
        <v>33</v>
      </c>
      <c r="N88" s="48">
        <f>'Базовые цены с учетом расхода'!F12</f>
        <v>1.08</v>
      </c>
    </row>
    <row r="89" spans="1:14" ht="43.5" customHeight="1">
      <c r="A89" s="40"/>
      <c r="B89" s="40"/>
      <c r="C89" s="40"/>
      <c r="D89" s="12">
        <v>22.37</v>
      </c>
      <c r="E89" s="12"/>
      <c r="F89" s="48"/>
      <c r="G89" s="48"/>
      <c r="H89" s="12">
        <f>'Базовые цены с учетом расхода'!E12</f>
        <v>0</v>
      </c>
      <c r="J89" s="1" t="e">
        <f>'Базовые цены с учетом расхода'!K12</f>
        <v>#NAME?</v>
      </c>
      <c r="K89" s="1" t="s">
        <v>34</v>
      </c>
      <c r="L89" s="1" t="s">
        <v>35</v>
      </c>
      <c r="N89" s="48"/>
    </row>
    <row r="90" spans="2:10" ht="10.5">
      <c r="B90" s="53" t="s">
        <v>63</v>
      </c>
      <c r="C90" s="53"/>
      <c r="D90" s="53"/>
      <c r="E90" s="53"/>
      <c r="F90" s="53"/>
      <c r="G90" s="53"/>
      <c r="H90" s="53"/>
      <c r="I90" s="53"/>
      <c r="J90" s="53"/>
    </row>
    <row r="91" spans="2:10" ht="10.5">
      <c r="B91" s="53" t="s">
        <v>329</v>
      </c>
      <c r="C91" s="53"/>
      <c r="D91" s="53"/>
      <c r="E91" s="53"/>
      <c r="F91" s="53"/>
      <c r="G91" s="53"/>
      <c r="H91" s="53"/>
      <c r="I91" s="53"/>
      <c r="J91" s="53"/>
    </row>
    <row r="92" spans="2:12" ht="10.5" hidden="1">
      <c r="B92" s="14" t="s">
        <v>36</v>
      </c>
      <c r="C92" s="1">
        <v>115</v>
      </c>
      <c r="F92" s="15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  <v>25.73</v>
      </c>
      <c r="L92" s="4" t="s">
        <v>37</v>
      </c>
    </row>
    <row r="93" spans="2:12" ht="10.5" hidden="1">
      <c r="B93" s="14" t="s">
        <v>38</v>
      </c>
      <c r="F93" s="15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  <v>25.73</v>
      </c>
      <c r="L93" s="4" t="s">
        <v>39</v>
      </c>
    </row>
    <row r="94" spans="2:12" ht="10.5" hidden="1">
      <c r="B94" s="14" t="s">
        <v>40</v>
      </c>
      <c r="F94" s="15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  <v>25.73</v>
      </c>
      <c r="L94" s="4" t="s">
        <v>41</v>
      </c>
    </row>
    <row r="95" spans="2:12" ht="10.5" hidden="1">
      <c r="B95" s="14" t="s">
        <v>42</v>
      </c>
      <c r="C95" s="1">
        <v>71</v>
      </c>
      <c r="F95" s="15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  <v>15.88</v>
      </c>
      <c r="L95" s="4" t="s">
        <v>43</v>
      </c>
    </row>
    <row r="96" spans="2:12" ht="10.5" hidden="1">
      <c r="B96" s="14" t="s">
        <v>44</v>
      </c>
      <c r="F96" s="15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  <v>15.88</v>
      </c>
      <c r="L96" s="4" t="s">
        <v>45</v>
      </c>
    </row>
    <row r="97" spans="2:12" ht="10.5" hidden="1">
      <c r="B97" s="14" t="s">
        <v>46</v>
      </c>
      <c r="F97" s="15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  <v>15.88</v>
      </c>
      <c r="L97" s="4" t="s">
        <v>47</v>
      </c>
    </row>
    <row r="98" spans="1:10" ht="10.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4" ht="10.5">
      <c r="A99" s="39" t="s">
        <v>64</v>
      </c>
      <c r="B99" s="38" t="s">
        <v>65</v>
      </c>
      <c r="C99" s="40">
        <v>1</v>
      </c>
      <c r="D99" s="11">
        <f>'Базовые цены за единицу'!B13</f>
        <v>150.9</v>
      </c>
      <c r="E99" s="11">
        <v>6.2</v>
      </c>
      <c r="F99" s="48">
        <f>'Базовые цены с учетом расхода'!B13</f>
        <v>150.9</v>
      </c>
      <c r="G99" s="48">
        <f>'Базовые цены с учетом расхода'!C13</f>
        <v>64.32</v>
      </c>
      <c r="H99" s="11">
        <f>'Базовые цены с учетом расхода'!D13</f>
        <v>6.2</v>
      </c>
      <c r="I99" s="13">
        <v>5.129</v>
      </c>
      <c r="J99" s="13" t="e">
        <f>'Базовые цены с учетом расхода'!I13</f>
        <v>#NAME?</v>
      </c>
      <c r="K99" s="1" t="s">
        <v>32</v>
      </c>
      <c r="L99" s="1" t="s">
        <v>33</v>
      </c>
      <c r="N99" s="48">
        <f>'Базовые цены с учетом расхода'!F13</f>
        <v>80.38</v>
      </c>
    </row>
    <row r="100" spans="1:14" ht="43.5" customHeight="1">
      <c r="A100" s="40"/>
      <c r="B100" s="40"/>
      <c r="C100" s="40"/>
      <c r="D100" s="12">
        <v>64.32</v>
      </c>
      <c r="E100" s="12"/>
      <c r="F100" s="48"/>
      <c r="G100" s="48"/>
      <c r="H100" s="12">
        <f>'Базовые цены с учетом расхода'!E13</f>
        <v>0</v>
      </c>
      <c r="J100" s="1" t="e">
        <f>'Базовые цены с учетом расхода'!K13</f>
        <v>#NAME?</v>
      </c>
      <c r="K100" s="1" t="s">
        <v>34</v>
      </c>
      <c r="L100" s="1" t="s">
        <v>35</v>
      </c>
      <c r="N100" s="48"/>
    </row>
    <row r="101" spans="2:10" ht="10.5">
      <c r="B101" s="53" t="s">
        <v>325</v>
      </c>
      <c r="C101" s="53"/>
      <c r="D101" s="53"/>
      <c r="E101" s="53"/>
      <c r="F101" s="53"/>
      <c r="G101" s="53"/>
      <c r="H101" s="53"/>
      <c r="I101" s="53"/>
      <c r="J101" s="53"/>
    </row>
    <row r="102" spans="2:12" ht="10.5" hidden="1">
      <c r="B102" s="14" t="s">
        <v>36</v>
      </c>
      <c r="C102" s="1">
        <v>115</v>
      </c>
      <c r="F102" s="15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  <v>73.97</v>
      </c>
      <c r="L102" s="4" t="s">
        <v>37</v>
      </c>
    </row>
    <row r="103" spans="2:12" ht="10.5" hidden="1">
      <c r="B103" s="14" t="s">
        <v>38</v>
      </c>
      <c r="F103" s="15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  <v>73.97</v>
      </c>
      <c r="L103" s="4" t="s">
        <v>39</v>
      </c>
    </row>
    <row r="104" spans="2:12" ht="10.5" hidden="1">
      <c r="B104" s="14" t="s">
        <v>40</v>
      </c>
      <c r="F104" s="15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  <v>73.97</v>
      </c>
      <c r="L104" s="4" t="s">
        <v>41</v>
      </c>
    </row>
    <row r="105" spans="2:12" ht="10.5" hidden="1">
      <c r="B105" s="14" t="s">
        <v>42</v>
      </c>
      <c r="C105" s="1">
        <v>71</v>
      </c>
      <c r="F105" s="15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  <v>45.67</v>
      </c>
      <c r="L105" s="4" t="s">
        <v>43</v>
      </c>
    </row>
    <row r="106" spans="2:12" ht="10.5" hidden="1">
      <c r="B106" s="14" t="s">
        <v>44</v>
      </c>
      <c r="F106" s="15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  <v>45.67</v>
      </c>
      <c r="L106" s="4" t="s">
        <v>45</v>
      </c>
    </row>
    <row r="107" spans="2:12" ht="10.5" hidden="1">
      <c r="B107" s="14" t="s">
        <v>46</v>
      </c>
      <c r="F107" s="15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  <v>45.67</v>
      </c>
      <c r="L107" s="4" t="s">
        <v>47</v>
      </c>
    </row>
    <row r="108" spans="1:10" ht="10.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4" ht="10.5">
      <c r="A109" s="39" t="s">
        <v>66</v>
      </c>
      <c r="B109" s="38" t="s">
        <v>67</v>
      </c>
      <c r="C109" s="40">
        <v>1</v>
      </c>
      <c r="D109" s="11">
        <f>'Базовые цены за единицу'!B14</f>
        <v>21.1</v>
      </c>
      <c r="E109" s="11"/>
      <c r="F109" s="48">
        <f>'Базовые цены с учетом расхода'!B14</f>
        <v>21.1</v>
      </c>
      <c r="G109" s="48">
        <f>'Базовые цены с учетом расхода'!C14</f>
        <v>0</v>
      </c>
      <c r="H109" s="11">
        <f>'Базовые цены с учетом расхода'!D14</f>
        <v>0</v>
      </c>
      <c r="I109" s="13"/>
      <c r="J109" s="13" t="e">
        <f>'Базовые цены с учетом расхода'!I14</f>
        <v>#NAME?</v>
      </c>
      <c r="K109" s="1" t="s">
        <v>32</v>
      </c>
      <c r="L109" s="1" t="s">
        <v>33</v>
      </c>
      <c r="N109" s="48">
        <f>'Базовые цены с учетом расхода'!F14</f>
        <v>21.1</v>
      </c>
    </row>
    <row r="110" spans="1:14" ht="43.5" customHeight="1">
      <c r="A110" s="40"/>
      <c r="B110" s="40"/>
      <c r="C110" s="40"/>
      <c r="D110" s="12"/>
      <c r="E110" s="12"/>
      <c r="F110" s="48"/>
      <c r="G110" s="48"/>
      <c r="H110" s="12">
        <f>'Базовые цены с учетом расхода'!E14</f>
        <v>0</v>
      </c>
      <c r="J110" s="1" t="e">
        <f>'Базовые цены с учетом расхода'!K14</f>
        <v>#NAME?</v>
      </c>
      <c r="K110" s="1" t="s">
        <v>34</v>
      </c>
      <c r="L110" s="1" t="s">
        <v>35</v>
      </c>
      <c r="N110" s="48"/>
    </row>
    <row r="111" spans="2:12" ht="10.5" hidden="1">
      <c r="B111" s="14" t="s">
        <v>36</v>
      </c>
      <c r="C111" s="1">
        <v>0</v>
      </c>
      <c r="F111" s="15">
        <f>IF('Базовые цены с учетом расхода'!N14&gt;0,'Базовые цены с учетом расхода'!N14,IF('Базовые цены с учетом расхода'!N14&lt;0,'Базовые цены с учетом расхода'!N14,""))</f>
      </c>
      <c r="L111" s="4" t="s">
        <v>37</v>
      </c>
    </row>
    <row r="112" spans="2:12" ht="10.5" hidden="1">
      <c r="B112" s="14" t="s">
        <v>38</v>
      </c>
      <c r="F112" s="15">
        <f>IF('Базовые цены с учетом расхода'!N14&gt;0,'Базовые цены с учетом расхода'!N14,IF('Базовые цены с учетом расхода'!N14&lt;0,'Базовые цены с учетом расхода'!N14,""))</f>
      </c>
      <c r="L112" s="4" t="s">
        <v>39</v>
      </c>
    </row>
    <row r="113" spans="2:12" ht="10.5" hidden="1">
      <c r="B113" s="14" t="s">
        <v>40</v>
      </c>
      <c r="F113" s="15">
        <f>IF('Базовые цены с учетом расхода'!N14&gt;0,'Базовые цены с учетом расхода'!N14,IF('Базовые цены с учетом расхода'!N14&lt;0,'Базовые цены с учетом расхода'!N14,""))</f>
      </c>
      <c r="L113" s="4" t="s">
        <v>41</v>
      </c>
    </row>
    <row r="114" spans="2:12" ht="10.5" hidden="1">
      <c r="B114" s="14" t="s">
        <v>42</v>
      </c>
      <c r="C114" s="1">
        <v>0</v>
      </c>
      <c r="F114" s="15">
        <f>IF('Базовые цены с учетом расхода'!O14&gt;0,'Базовые цены с учетом расхода'!O14,IF('Базовые цены с учетом расхода'!O14&lt;0,'Базовые цены с учетом расхода'!O14,""))</f>
      </c>
      <c r="L114" s="4" t="s">
        <v>43</v>
      </c>
    </row>
    <row r="115" spans="2:12" ht="10.5" hidden="1">
      <c r="B115" s="14" t="s">
        <v>44</v>
      </c>
      <c r="F115" s="15">
        <f>IF('Базовые цены с учетом расхода'!O14&gt;0,'Базовые цены с учетом расхода'!O14,IF('Базовые цены с учетом расхода'!O14&lt;0,'Базовые цены с учетом расхода'!O14,""))</f>
      </c>
      <c r="L115" s="4" t="s">
        <v>45</v>
      </c>
    </row>
    <row r="116" spans="2:12" ht="10.5" hidden="1">
      <c r="B116" s="14" t="s">
        <v>46</v>
      </c>
      <c r="F116" s="15">
        <f>IF('Базовые цены с учетом расхода'!O14&gt;0,'Базовые цены с учетом расхода'!O14,IF('Базовые цены с учетом расхода'!O14&lt;0,'Базовые цены с учетом расхода'!O14,""))</f>
      </c>
      <c r="L116" s="4" t="s">
        <v>47</v>
      </c>
    </row>
    <row r="117" spans="1:10" ht="10.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4" ht="10.5">
      <c r="A118" s="39" t="s">
        <v>68</v>
      </c>
      <c r="B118" s="38" t="s">
        <v>69</v>
      </c>
      <c r="C118" s="40">
        <v>0.01</v>
      </c>
      <c r="D118" s="11">
        <f>'Базовые цены за единицу'!B15</f>
        <v>28882.78</v>
      </c>
      <c r="E118" s="11">
        <v>154.14</v>
      </c>
      <c r="F118" s="48">
        <f>'Базовые цены с учетом расхода'!B15</f>
        <v>288.83</v>
      </c>
      <c r="G118" s="48">
        <f>'Базовые цены с учетом расхода'!C15</f>
        <v>35.36</v>
      </c>
      <c r="H118" s="11">
        <f>'Базовые цены с учетом расхода'!D15</f>
        <v>1.54</v>
      </c>
      <c r="I118" s="13">
        <v>308</v>
      </c>
      <c r="J118" s="13" t="e">
        <f>'Базовые цены с учетом расхода'!I15</f>
        <v>#NAME?</v>
      </c>
      <c r="K118" s="1" t="s">
        <v>32</v>
      </c>
      <c r="L118" s="1" t="s">
        <v>33</v>
      </c>
      <c r="N118" s="48">
        <f>'Базовые цены с учетом расхода'!F15</f>
        <v>251.93</v>
      </c>
    </row>
    <row r="119" spans="1:14" ht="21.75" customHeight="1">
      <c r="A119" s="40"/>
      <c r="B119" s="40"/>
      <c r="C119" s="40"/>
      <c r="D119" s="12">
        <v>3535.84</v>
      </c>
      <c r="E119" s="12"/>
      <c r="F119" s="48"/>
      <c r="G119" s="48"/>
      <c r="H119" s="12">
        <f>'Базовые цены с учетом расхода'!E15</f>
        <v>0</v>
      </c>
      <c r="J119" s="1" t="e">
        <f>'Базовые цены с учетом расхода'!K15</f>
        <v>#NAME?</v>
      </c>
      <c r="K119" s="1" t="s">
        <v>34</v>
      </c>
      <c r="L119" s="1" t="s">
        <v>35</v>
      </c>
      <c r="N119" s="48"/>
    </row>
    <row r="120" spans="2:12" ht="10.5" hidden="1">
      <c r="B120" s="14" t="s">
        <v>36</v>
      </c>
      <c r="C120" s="1">
        <v>103</v>
      </c>
      <c r="F120" s="15">
        <f>IF('Базовые цены с учетом расхода'!N15&gt;0,'Базовые цены с учетом расхода'!N15,IF('Базовые цены с учетом расхода'!N15&lt;0,'Базовые цены с учетом расхода'!N15,""))</f>
        <v>36.42</v>
      </c>
      <c r="L120" s="4" t="s">
        <v>37</v>
      </c>
    </row>
    <row r="121" spans="2:12" ht="10.5" hidden="1">
      <c r="B121" s="14" t="s">
        <v>38</v>
      </c>
      <c r="F121" s="15">
        <f>IF('Базовые цены с учетом расхода'!N15&gt;0,'Базовые цены с учетом расхода'!N15,IF('Базовые цены с учетом расхода'!N15&lt;0,'Базовые цены с учетом расхода'!N15,""))</f>
        <v>36.42</v>
      </c>
      <c r="L121" s="4" t="s">
        <v>39</v>
      </c>
    </row>
    <row r="122" spans="2:12" ht="10.5" hidden="1">
      <c r="B122" s="14" t="s">
        <v>40</v>
      </c>
      <c r="F122" s="15">
        <f>IF('Базовые цены с учетом расхода'!N15&gt;0,'Базовые цены с учетом расхода'!N15,IF('Базовые цены с учетом расхода'!N15&lt;0,'Базовые цены с учетом расхода'!N15,""))</f>
        <v>36.42</v>
      </c>
      <c r="L122" s="4" t="s">
        <v>41</v>
      </c>
    </row>
    <row r="123" spans="2:12" ht="10.5" hidden="1">
      <c r="B123" s="14" t="s">
        <v>42</v>
      </c>
      <c r="C123" s="1">
        <v>60</v>
      </c>
      <c r="F123" s="15">
        <f>IF('Базовые цены с учетом расхода'!O15&gt;0,'Базовые цены с учетом расхода'!O15,IF('Базовые цены с учетом расхода'!O15&lt;0,'Базовые цены с учетом расхода'!O15,""))</f>
        <v>21.22</v>
      </c>
      <c r="L123" s="4" t="s">
        <v>43</v>
      </c>
    </row>
    <row r="124" spans="2:12" ht="10.5" hidden="1">
      <c r="B124" s="14" t="s">
        <v>44</v>
      </c>
      <c r="F124" s="15">
        <f>IF('Базовые цены с учетом расхода'!O15&gt;0,'Базовые цены с учетом расхода'!O15,IF('Базовые цены с учетом расхода'!O15&lt;0,'Базовые цены с учетом расхода'!O15,""))</f>
        <v>21.22</v>
      </c>
      <c r="L124" s="4" t="s">
        <v>45</v>
      </c>
    </row>
    <row r="125" spans="2:12" ht="10.5" hidden="1">
      <c r="B125" s="14" t="s">
        <v>46</v>
      </c>
      <c r="F125" s="15">
        <f>IF('Базовые цены с учетом расхода'!O15&gt;0,'Базовые цены с учетом расхода'!O15,IF('Базовые цены с учетом расхода'!O15&lt;0,'Базовые цены с учетом расхода'!O15,""))</f>
        <v>21.22</v>
      </c>
      <c r="L125" s="4" t="s">
        <v>47</v>
      </c>
    </row>
    <row r="126" spans="1:10" ht="10.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4" ht="10.5">
      <c r="A127" s="39" t="s">
        <v>70</v>
      </c>
      <c r="B127" s="38" t="s">
        <v>71</v>
      </c>
      <c r="C127" s="40">
        <v>0.002</v>
      </c>
      <c r="D127" s="11">
        <f>'Базовые цены за единицу'!B16</f>
        <v>25004.85</v>
      </c>
      <c r="E127" s="11">
        <v>331.53</v>
      </c>
      <c r="F127" s="48">
        <f>'Базовые цены с учетом расхода'!B16</f>
        <v>50</v>
      </c>
      <c r="G127" s="48">
        <f>'Базовые цены с учетом расхода'!C16</f>
        <v>5.36</v>
      </c>
      <c r="H127" s="11">
        <f>'Базовые цены с учетом расхода'!D16</f>
        <v>0.66</v>
      </c>
      <c r="I127" s="13">
        <v>220.4</v>
      </c>
      <c r="J127" s="13" t="e">
        <f>'Базовые цены с учетом расхода'!I16</f>
        <v>#NAME?</v>
      </c>
      <c r="K127" s="1" t="s">
        <v>32</v>
      </c>
      <c r="L127" s="1" t="s">
        <v>33</v>
      </c>
      <c r="N127" s="48">
        <f>'Базовые цены с учетом расхода'!F16</f>
        <v>43.98</v>
      </c>
    </row>
    <row r="128" spans="1:14" ht="43.5" customHeight="1">
      <c r="A128" s="40"/>
      <c r="B128" s="40"/>
      <c r="C128" s="40"/>
      <c r="D128" s="12">
        <v>2682.27</v>
      </c>
      <c r="E128" s="12">
        <v>7.22</v>
      </c>
      <c r="F128" s="48"/>
      <c r="G128" s="48"/>
      <c r="H128" s="12">
        <f>'Базовые цены с учетом расхода'!E16</f>
        <v>0.01</v>
      </c>
      <c r="I128" s="1">
        <v>0.67</v>
      </c>
      <c r="J128" s="1" t="e">
        <f>'Базовые цены с учетом расхода'!K16</f>
        <v>#NAME?</v>
      </c>
      <c r="K128" s="1" t="s">
        <v>34</v>
      </c>
      <c r="L128" s="1" t="s">
        <v>35</v>
      </c>
      <c r="N128" s="48"/>
    </row>
    <row r="129" spans="2:12" ht="10.5" hidden="1">
      <c r="B129" s="14" t="s">
        <v>36</v>
      </c>
      <c r="C129" s="1">
        <v>103</v>
      </c>
      <c r="F129" s="15">
        <f>IF('Базовые цены с учетом расхода'!N16&gt;0,'Базовые цены с учетом расхода'!N16,IF('Базовые цены с учетом расхода'!N16&lt;0,'Базовые цены с учетом расхода'!N16,""))</f>
        <v>5.53</v>
      </c>
      <c r="L129" s="4" t="s">
        <v>37</v>
      </c>
    </row>
    <row r="130" spans="2:12" ht="10.5" hidden="1">
      <c r="B130" s="14" t="s">
        <v>38</v>
      </c>
      <c r="F130" s="15">
        <f>IF('Базовые цены с учетом расхода'!N16&gt;0,'Базовые цены с учетом расхода'!N16,IF('Базовые цены с учетом расхода'!N16&lt;0,'Базовые цены с учетом расхода'!N16,""))</f>
        <v>5.53</v>
      </c>
      <c r="L130" s="4" t="s">
        <v>39</v>
      </c>
    </row>
    <row r="131" spans="2:12" ht="10.5" hidden="1">
      <c r="B131" s="14" t="s">
        <v>40</v>
      </c>
      <c r="F131" s="15">
        <f>IF('Базовые цены с учетом расхода'!N16&gt;0,'Базовые цены с учетом расхода'!N16,IF('Базовые цены с учетом расхода'!N16&lt;0,'Базовые цены с учетом расхода'!N16,""))</f>
        <v>5.53</v>
      </c>
      <c r="L131" s="4" t="s">
        <v>41</v>
      </c>
    </row>
    <row r="132" spans="2:12" ht="10.5" hidden="1">
      <c r="B132" s="14" t="s">
        <v>42</v>
      </c>
      <c r="C132" s="1">
        <v>60</v>
      </c>
      <c r="F132" s="15">
        <f>IF('Базовые цены с учетом расхода'!O16&gt;0,'Базовые цены с учетом расхода'!O16,IF('Базовые цены с учетом расхода'!O16&lt;0,'Базовые цены с учетом расхода'!O16,""))</f>
        <v>3.22</v>
      </c>
      <c r="L132" s="4" t="s">
        <v>43</v>
      </c>
    </row>
    <row r="133" spans="2:12" ht="10.5" hidden="1">
      <c r="B133" s="14" t="s">
        <v>44</v>
      </c>
      <c r="F133" s="15">
        <f>IF('Базовые цены с учетом расхода'!O16&gt;0,'Базовые цены с учетом расхода'!O16,IF('Базовые цены с учетом расхода'!O16&lt;0,'Базовые цены с учетом расхода'!O16,""))</f>
        <v>3.22</v>
      </c>
      <c r="L133" s="4" t="s">
        <v>45</v>
      </c>
    </row>
    <row r="134" spans="2:12" ht="10.5" hidden="1">
      <c r="B134" s="14" t="s">
        <v>46</v>
      </c>
      <c r="F134" s="15">
        <f>IF('Базовые цены с учетом расхода'!O16&gt;0,'Базовые цены с учетом расхода'!O16,IF('Базовые цены с учетом расхода'!O16&lt;0,'Базовые цены с учетом расхода'!O16,""))</f>
        <v>3.22</v>
      </c>
      <c r="L134" s="4" t="s">
        <v>47</v>
      </c>
    </row>
    <row r="135" spans="1:10" ht="10.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4" ht="10.5">
      <c r="A136" s="39" t="s">
        <v>72</v>
      </c>
      <c r="B136" s="38" t="s">
        <v>73</v>
      </c>
      <c r="C136" s="40">
        <v>1</v>
      </c>
      <c r="D136" s="11">
        <f>'Базовые цены за единицу'!B17</f>
        <v>83</v>
      </c>
      <c r="E136" s="11"/>
      <c r="F136" s="48">
        <f>'Базовые цены с учетом расхода'!B17</f>
        <v>83</v>
      </c>
      <c r="G136" s="48">
        <f>'Базовые цены с учетом расхода'!C17</f>
        <v>0</v>
      </c>
      <c r="H136" s="11">
        <f>'Базовые цены с учетом расхода'!D17</f>
        <v>0</v>
      </c>
      <c r="I136" s="13"/>
      <c r="J136" s="13" t="e">
        <f>'Базовые цены с учетом расхода'!I17</f>
        <v>#NAME?</v>
      </c>
      <c r="K136" s="1" t="s">
        <v>32</v>
      </c>
      <c r="L136" s="1" t="s">
        <v>33</v>
      </c>
      <c r="N136" s="48">
        <f>'Базовые цены с учетом расхода'!F17</f>
        <v>83</v>
      </c>
    </row>
    <row r="137" spans="1:14" ht="54.75" customHeight="1">
      <c r="A137" s="40"/>
      <c r="B137" s="40"/>
      <c r="C137" s="40"/>
      <c r="D137" s="12"/>
      <c r="E137" s="12"/>
      <c r="F137" s="48"/>
      <c r="G137" s="48"/>
      <c r="H137" s="12">
        <f>'Базовые цены с учетом расхода'!E17</f>
        <v>0</v>
      </c>
      <c r="J137" s="1" t="e">
        <f>'Базовые цены с учетом расхода'!K17</f>
        <v>#NAME?</v>
      </c>
      <c r="K137" s="1" t="s">
        <v>34</v>
      </c>
      <c r="L137" s="1" t="s">
        <v>35</v>
      </c>
      <c r="N137" s="48"/>
    </row>
    <row r="138" spans="2:12" ht="10.5" hidden="1">
      <c r="B138" s="14" t="s">
        <v>36</v>
      </c>
      <c r="C138" s="1">
        <v>0</v>
      </c>
      <c r="F138" s="15">
        <f>IF('Базовые цены с учетом расхода'!N17&gt;0,'Базовые цены с учетом расхода'!N17,IF('Базовые цены с учетом расхода'!N17&lt;0,'Базовые цены с учетом расхода'!N17,""))</f>
      </c>
      <c r="L138" s="4" t="s">
        <v>37</v>
      </c>
    </row>
    <row r="139" spans="2:12" ht="10.5" hidden="1">
      <c r="B139" s="14" t="s">
        <v>38</v>
      </c>
      <c r="F139" s="15">
        <f>IF('Базовые цены с учетом расхода'!N17&gt;0,'Базовые цены с учетом расхода'!N17,IF('Базовые цены с учетом расхода'!N17&lt;0,'Базовые цены с учетом расхода'!N17,""))</f>
      </c>
      <c r="L139" s="4" t="s">
        <v>39</v>
      </c>
    </row>
    <row r="140" spans="2:12" ht="10.5" hidden="1">
      <c r="B140" s="14" t="s">
        <v>40</v>
      </c>
      <c r="F140" s="15">
        <f>IF('Базовые цены с учетом расхода'!N17&gt;0,'Базовые цены с учетом расхода'!N17,IF('Базовые цены с учетом расхода'!N17&lt;0,'Базовые цены с учетом расхода'!N17,""))</f>
      </c>
      <c r="L140" s="4" t="s">
        <v>41</v>
      </c>
    </row>
    <row r="141" spans="2:12" ht="10.5" hidden="1">
      <c r="B141" s="14" t="s">
        <v>42</v>
      </c>
      <c r="C141" s="1">
        <v>0</v>
      </c>
      <c r="F141" s="15">
        <f>IF('Базовые цены с учетом расхода'!O17&gt;0,'Базовые цены с учетом расхода'!O17,IF('Базовые цены с учетом расхода'!O17&lt;0,'Базовые цены с учетом расхода'!O17,""))</f>
      </c>
      <c r="L141" s="4" t="s">
        <v>43</v>
      </c>
    </row>
    <row r="142" spans="2:12" ht="10.5" hidden="1">
      <c r="B142" s="14" t="s">
        <v>44</v>
      </c>
      <c r="F142" s="15">
        <f>IF('Базовые цены с учетом расхода'!O17&gt;0,'Базовые цены с учетом расхода'!O17,IF('Базовые цены с учетом расхода'!O17&lt;0,'Базовые цены с учетом расхода'!O17,""))</f>
      </c>
      <c r="L142" s="4" t="s">
        <v>45</v>
      </c>
    </row>
    <row r="143" spans="2:12" ht="10.5" hidden="1">
      <c r="B143" s="14" t="s">
        <v>46</v>
      </c>
      <c r="F143" s="15">
        <f>IF('Базовые цены с учетом расхода'!O17&gt;0,'Базовые цены с учетом расхода'!O17,IF('Базовые цены с учетом расхода'!O17&lt;0,'Базовые цены с учетом расхода'!O17,""))</f>
      </c>
      <c r="L143" s="4" t="s">
        <v>47</v>
      </c>
    </row>
    <row r="144" spans="1:10" ht="10.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2:18" ht="10.5">
      <c r="B145" s="8" t="s">
        <v>74</v>
      </c>
      <c r="E145" s="55"/>
      <c r="F145" s="54">
        <f>'Базовые концовки'!F7</f>
        <v>847.12</v>
      </c>
      <c r="G145" s="54">
        <f>'Базовые концовки'!G7</f>
        <v>150.05</v>
      </c>
      <c r="H145" s="19">
        <f>'Базовые концовки'!H7</f>
        <v>21.33</v>
      </c>
      <c r="I145" s="40"/>
      <c r="J145" s="20" t="e">
        <f>'Базовые концовки'!J7</f>
        <v>#NAME?</v>
      </c>
      <c r="N145" s="54">
        <f>'Базовые концовки'!L7</f>
        <v>675.74</v>
      </c>
      <c r="R145" s="54">
        <f>'Базовые концовки'!M7</f>
        <v>0</v>
      </c>
    </row>
    <row r="146" spans="5:18" ht="10.5">
      <c r="E146" s="55"/>
      <c r="F146" s="54"/>
      <c r="G146" s="54"/>
      <c r="H146" s="18">
        <f>'Базовые концовки'!I7</f>
        <v>0.05</v>
      </c>
      <c r="I146" s="40"/>
      <c r="J146" s="7" t="e">
        <f>'Базовые концовки'!K7</f>
        <v>#NAME?</v>
      </c>
      <c r="N146" s="54"/>
      <c r="R146" s="54"/>
    </row>
    <row r="147" spans="2:18" ht="10.5" hidden="1">
      <c r="B147" s="8" t="s">
        <v>75</v>
      </c>
      <c r="E147" s="17"/>
      <c r="F147" s="18">
        <f>'Базовые концовки'!F8</f>
        <v>0</v>
      </c>
      <c r="G147" s="18">
        <f>'Базовые концовки'!G8</f>
        <v>0</v>
      </c>
      <c r="H147" s="18">
        <f>'Базовые концовки'!H8</f>
        <v>0</v>
      </c>
      <c r="J147" s="7">
        <f>'Базовые концовки'!J8</f>
        <v>0</v>
      </c>
      <c r="N147" s="18">
        <f>'Базовые концовки'!L8</f>
        <v>0</v>
      </c>
      <c r="R147" s="18">
        <f>'Базовые концовки'!M8</f>
        <v>0</v>
      </c>
    </row>
    <row r="148" spans="2:18" ht="10.5" hidden="1">
      <c r="B148" s="8" t="s">
        <v>76</v>
      </c>
      <c r="E148" s="17"/>
      <c r="F148" s="18" t="e">
        <f>'Базовые концовки'!F9</f>
        <v>#NAME?</v>
      </c>
      <c r="G148" s="18"/>
      <c r="H148" s="18"/>
      <c r="J148" s="7"/>
      <c r="N148" s="18"/>
      <c r="R148" s="18"/>
    </row>
    <row r="149" spans="2:18" ht="10.5" hidden="1">
      <c r="B149" s="8" t="s">
        <v>77</v>
      </c>
      <c r="E149" s="17"/>
      <c r="F149" s="18" t="e">
        <f>'Базовые концовки'!F10</f>
        <v>#NAME?</v>
      </c>
      <c r="G149" s="18"/>
      <c r="H149" s="18"/>
      <c r="J149" s="7"/>
      <c r="N149" s="18"/>
      <c r="R149" s="18"/>
    </row>
    <row r="150" spans="2:18" ht="10.5" hidden="1">
      <c r="B150" s="8" t="s">
        <v>78</v>
      </c>
      <c r="E150" s="17"/>
      <c r="F150" s="18" t="e">
        <f>'Базовые концовки'!F11</f>
        <v>#NAME?</v>
      </c>
      <c r="G150" s="18"/>
      <c r="H150" s="18"/>
      <c r="J150" s="7"/>
      <c r="N150" s="18"/>
      <c r="R150" s="18"/>
    </row>
    <row r="151" spans="2:18" ht="10.5" hidden="1">
      <c r="B151" s="8" t="s">
        <v>79</v>
      </c>
      <c r="E151" s="17"/>
      <c r="F151" s="18" t="e">
        <f>'Базовые концовки'!F12</f>
        <v>#NAME?</v>
      </c>
      <c r="G151" s="18"/>
      <c r="H151" s="18"/>
      <c r="J151" s="7"/>
      <c r="N151" s="18"/>
      <c r="R151" s="18"/>
    </row>
    <row r="152" spans="2:18" ht="10.5" hidden="1">
      <c r="B152" s="8" t="s">
        <v>80</v>
      </c>
      <c r="E152" s="17"/>
      <c r="F152" s="18" t="e">
        <f>'Базовые концовки'!F13</f>
        <v>#NAME?</v>
      </c>
      <c r="G152" s="18"/>
      <c r="H152" s="18"/>
      <c r="J152" s="7"/>
      <c r="N152" s="18"/>
      <c r="R152" s="18"/>
    </row>
    <row r="153" spans="2:18" ht="10.5" hidden="1">
      <c r="B153" s="8" t="s">
        <v>81</v>
      </c>
      <c r="E153" s="17"/>
      <c r="F153" s="18" t="e">
        <f>'Базовые концовки'!F14</f>
        <v>#NAME?</v>
      </c>
      <c r="G153" s="18"/>
      <c r="H153" s="18"/>
      <c r="J153" s="7"/>
      <c r="N153" s="18"/>
      <c r="R153" s="18"/>
    </row>
    <row r="154" spans="2:18" ht="10.5" hidden="1">
      <c r="B154" s="8" t="s">
        <v>82</v>
      </c>
      <c r="E154" s="17"/>
      <c r="F154" s="18" t="e">
        <f>'Базовые концовки'!F15</f>
        <v>#NAME?</v>
      </c>
      <c r="G154" s="18"/>
      <c r="H154" s="18"/>
      <c r="J154" s="7"/>
      <c r="N154" s="18"/>
      <c r="R154" s="18"/>
    </row>
    <row r="155" spans="2:18" ht="10.5" hidden="1">
      <c r="B155" s="8" t="s">
        <v>83</v>
      </c>
      <c r="E155" s="17"/>
      <c r="F155" s="18" t="e">
        <f>'Базовые концовки'!F16</f>
        <v>#NAME?</v>
      </c>
      <c r="G155" s="18"/>
      <c r="H155" s="18"/>
      <c r="J155" s="7"/>
      <c r="N155" s="18"/>
      <c r="R155" s="18"/>
    </row>
    <row r="156" spans="2:18" ht="10.5" hidden="1">
      <c r="B156" s="8" t="s">
        <v>84</v>
      </c>
      <c r="E156" s="17"/>
      <c r="F156" s="18" t="e">
        <f>'Базовые концовки'!F17</f>
        <v>#NAME?</v>
      </c>
      <c r="G156" s="18"/>
      <c r="H156" s="18"/>
      <c r="J156" s="7"/>
      <c r="N156" s="18"/>
      <c r="R156" s="18"/>
    </row>
    <row r="157" spans="2:18" ht="10.5" hidden="1">
      <c r="B157" s="8" t="s">
        <v>85</v>
      </c>
      <c r="E157" s="17"/>
      <c r="F157" s="18">
        <f>'Базовые концовки'!F18</f>
        <v>0</v>
      </c>
      <c r="G157" s="18">
        <f>'Базовые концовки'!G18</f>
        <v>0</v>
      </c>
      <c r="H157" s="18">
        <f>'Базовые концовки'!H18</f>
        <v>0</v>
      </c>
      <c r="J157" s="7">
        <f>'Базовые концовки'!J18</f>
        <v>0</v>
      </c>
      <c r="N157" s="18">
        <f>'Базовые концовки'!L18</f>
        <v>0</v>
      </c>
      <c r="R157" s="18">
        <f>'Базовые концовки'!M18</f>
        <v>0</v>
      </c>
    </row>
    <row r="158" spans="2:18" ht="10.5" hidden="1">
      <c r="B158" s="8" t="s">
        <v>86</v>
      </c>
      <c r="E158" s="17"/>
      <c r="F158" s="18"/>
      <c r="G158" s="18"/>
      <c r="H158" s="18"/>
      <c r="J158" s="7"/>
      <c r="N158" s="18"/>
      <c r="R158" s="18"/>
    </row>
    <row r="159" spans="2:18" ht="10.5" hidden="1">
      <c r="B159" s="8" t="s">
        <v>87</v>
      </c>
      <c r="E159" s="17"/>
      <c r="F159" s="18"/>
      <c r="G159" s="18">
        <f>'Базовые концовки'!G20</f>
        <v>0</v>
      </c>
      <c r="H159" s="18"/>
      <c r="J159" s="7"/>
      <c r="N159" s="18"/>
      <c r="R159" s="18"/>
    </row>
    <row r="160" spans="2:18" ht="10.5" hidden="1">
      <c r="B160" s="8" t="s">
        <v>88</v>
      </c>
      <c r="E160" s="17"/>
      <c r="F160" s="18">
        <f>'Базовые концовки'!F21</f>
        <v>0</v>
      </c>
      <c r="G160" s="18"/>
      <c r="H160" s="18"/>
      <c r="J160" s="7"/>
      <c r="N160" s="18"/>
      <c r="R160" s="18"/>
    </row>
    <row r="161" spans="2:18" ht="10.5" hidden="1">
      <c r="B161" s="8" t="s">
        <v>89</v>
      </c>
      <c r="E161" s="17"/>
      <c r="F161" s="18" t="e">
        <f>'Базовые концовки'!F22</f>
        <v>#NAME?</v>
      </c>
      <c r="G161" s="18"/>
      <c r="H161" s="18"/>
      <c r="J161" s="7"/>
      <c r="N161" s="18"/>
      <c r="R161" s="18"/>
    </row>
    <row r="162" spans="2:18" ht="10.5" hidden="1">
      <c r="B162" s="8" t="s">
        <v>90</v>
      </c>
      <c r="E162" s="17"/>
      <c r="F162" s="18">
        <f>'Базовые концовки'!F23</f>
        <v>0</v>
      </c>
      <c r="G162" s="18"/>
      <c r="H162" s="18"/>
      <c r="J162" s="7"/>
      <c r="N162" s="18"/>
      <c r="R162" s="18"/>
    </row>
    <row r="163" spans="2:18" ht="10.5" hidden="1">
      <c r="B163" s="8" t="s">
        <v>91</v>
      </c>
      <c r="E163" s="17"/>
      <c r="F163" s="18">
        <f>'Базовые концовки'!F24</f>
        <v>0</v>
      </c>
      <c r="G163" s="18"/>
      <c r="H163" s="18"/>
      <c r="J163" s="7"/>
      <c r="N163" s="18"/>
      <c r="R163" s="18"/>
    </row>
    <row r="164" spans="2:18" ht="10.5" hidden="1">
      <c r="B164" s="8" t="s">
        <v>92</v>
      </c>
      <c r="E164" s="17"/>
      <c r="F164" s="18">
        <f>'Базовые концовки'!F25</f>
        <v>0</v>
      </c>
      <c r="G164" s="18"/>
      <c r="H164" s="18"/>
      <c r="J164" s="7"/>
      <c r="N164" s="18"/>
      <c r="R164" s="18"/>
    </row>
    <row r="165" spans="2:18" ht="10.5" hidden="1">
      <c r="B165" s="8" t="s">
        <v>83</v>
      </c>
      <c r="E165" s="17"/>
      <c r="F165" s="18" t="e">
        <f>'Базовые концовки'!F26</f>
        <v>#NAME?</v>
      </c>
      <c r="G165" s="18"/>
      <c r="H165" s="18"/>
      <c r="J165" s="7"/>
      <c r="N165" s="18"/>
      <c r="R165" s="18"/>
    </row>
    <row r="166" spans="2:18" ht="10.5" hidden="1">
      <c r="B166" s="8" t="s">
        <v>93</v>
      </c>
      <c r="E166" s="17"/>
      <c r="F166" s="18">
        <f>'Базовые концовки'!F27</f>
        <v>0</v>
      </c>
      <c r="G166" s="18"/>
      <c r="H166" s="18"/>
      <c r="J166" s="7"/>
      <c r="N166" s="18"/>
      <c r="R166" s="18"/>
    </row>
    <row r="167" spans="2:18" ht="10.5">
      <c r="B167" s="8" t="s">
        <v>94</v>
      </c>
      <c r="E167" s="17"/>
      <c r="F167" s="18">
        <f>'Базовые концовки'!F28</f>
        <v>192.43</v>
      </c>
      <c r="G167" s="18">
        <f>'Базовые концовки'!G28</f>
        <v>0</v>
      </c>
      <c r="H167" s="18">
        <f>'Базовые концовки'!H28</f>
        <v>0</v>
      </c>
      <c r="J167" s="7" t="e">
        <f>'Базовые концовки'!J28</f>
        <v>#NAME?</v>
      </c>
      <c r="N167" s="18">
        <f>'Базовые концовки'!L28</f>
        <v>192.43</v>
      </c>
      <c r="R167" s="18">
        <f>'Базовые концовки'!M28</f>
        <v>0</v>
      </c>
    </row>
    <row r="168" spans="2:18" ht="10.5" hidden="1">
      <c r="B168" s="8" t="s">
        <v>86</v>
      </c>
      <c r="E168" s="17"/>
      <c r="F168" s="18"/>
      <c r="G168" s="18"/>
      <c r="H168" s="18"/>
      <c r="J168" s="7"/>
      <c r="N168" s="18"/>
      <c r="R168" s="18"/>
    </row>
    <row r="169" spans="2:18" ht="10.5" hidden="1">
      <c r="B169" s="8" t="s">
        <v>95</v>
      </c>
      <c r="E169" s="17"/>
      <c r="F169" s="18">
        <f>'Базовые концовки'!F30</f>
        <v>104.1</v>
      </c>
      <c r="G169" s="18"/>
      <c r="H169" s="18"/>
      <c r="J169" s="7"/>
      <c r="N169" s="18"/>
      <c r="R169" s="18"/>
    </row>
    <row r="170" spans="2:18" ht="10.5" hidden="1">
      <c r="B170" s="8" t="s">
        <v>90</v>
      </c>
      <c r="E170" s="17"/>
      <c r="F170" s="18">
        <f>'Базовые концовки'!F31</f>
        <v>0</v>
      </c>
      <c r="G170" s="18"/>
      <c r="H170" s="18"/>
      <c r="J170" s="7"/>
      <c r="N170" s="18"/>
      <c r="R170" s="18"/>
    </row>
    <row r="171" spans="2:18" ht="10.5" hidden="1">
      <c r="B171" s="8" t="s">
        <v>91</v>
      </c>
      <c r="E171" s="17"/>
      <c r="F171" s="18">
        <f>'Базовые концовки'!F32</f>
        <v>0</v>
      </c>
      <c r="G171" s="18"/>
      <c r="H171" s="18"/>
      <c r="J171" s="7"/>
      <c r="N171" s="18"/>
      <c r="R171" s="18"/>
    </row>
    <row r="172" spans="2:18" ht="10.5" hidden="1">
      <c r="B172" s="8" t="s">
        <v>92</v>
      </c>
      <c r="E172" s="17"/>
      <c r="F172" s="18">
        <f>'Базовые концовки'!F33</f>
        <v>0</v>
      </c>
      <c r="G172" s="18"/>
      <c r="H172" s="18"/>
      <c r="J172" s="7"/>
      <c r="N172" s="18"/>
      <c r="R172" s="18"/>
    </row>
    <row r="173" spans="2:18" ht="10.5">
      <c r="B173" s="8" t="s">
        <v>96</v>
      </c>
      <c r="E173" s="17"/>
      <c r="F173" s="18">
        <f>'Базовые концовки'!F34</f>
        <v>192.43</v>
      </c>
      <c r="G173" s="18"/>
      <c r="H173" s="18"/>
      <c r="J173" s="7"/>
      <c r="N173" s="18"/>
      <c r="R173" s="18"/>
    </row>
    <row r="174" spans="2:18" ht="10.5" hidden="1">
      <c r="B174" s="8" t="s">
        <v>97</v>
      </c>
      <c r="E174" s="17"/>
      <c r="F174" s="18">
        <f>'Базовые концовки'!F35</f>
        <v>0</v>
      </c>
      <c r="G174" s="18">
        <f>'Базовые концовки'!G35</f>
        <v>0</v>
      </c>
      <c r="H174" s="18">
        <f>'Базовые концовки'!H35</f>
        <v>0</v>
      </c>
      <c r="J174" s="7">
        <f>'Базовые концовки'!J35</f>
        <v>0</v>
      </c>
      <c r="N174" s="18">
        <f>'Базовые концовки'!L35</f>
        <v>0</v>
      </c>
      <c r="R174" s="18">
        <f>'Базовые концовки'!M35</f>
        <v>0</v>
      </c>
    </row>
    <row r="175" spans="2:18" ht="10.5" hidden="1">
      <c r="B175" s="8" t="s">
        <v>90</v>
      </c>
      <c r="E175" s="17"/>
      <c r="F175" s="18">
        <f>'Базовые концовки'!F36</f>
        <v>0</v>
      </c>
      <c r="G175" s="18"/>
      <c r="H175" s="18"/>
      <c r="J175" s="7"/>
      <c r="N175" s="18"/>
      <c r="R175" s="18"/>
    </row>
    <row r="176" spans="2:18" ht="10.5" hidden="1">
      <c r="B176" s="8" t="s">
        <v>91</v>
      </c>
      <c r="E176" s="17"/>
      <c r="F176" s="18">
        <f>'Базовые концовки'!F37</f>
        <v>0</v>
      </c>
      <c r="G176" s="18"/>
      <c r="H176" s="18"/>
      <c r="J176" s="7"/>
      <c r="N176" s="18"/>
      <c r="R176" s="18"/>
    </row>
    <row r="177" spans="2:18" ht="10.5" hidden="1">
      <c r="B177" s="8" t="s">
        <v>92</v>
      </c>
      <c r="E177" s="17"/>
      <c r="F177" s="18">
        <f>'Базовые концовки'!F38</f>
        <v>0</v>
      </c>
      <c r="G177" s="18"/>
      <c r="H177" s="18"/>
      <c r="J177" s="7"/>
      <c r="N177" s="18"/>
      <c r="R177" s="18"/>
    </row>
    <row r="178" spans="2:18" ht="10.5" hidden="1">
      <c r="B178" s="8" t="s">
        <v>98</v>
      </c>
      <c r="E178" s="17"/>
      <c r="F178" s="18">
        <f>'Базовые концовки'!F39</f>
        <v>0</v>
      </c>
      <c r="G178" s="18"/>
      <c r="H178" s="18"/>
      <c r="J178" s="7"/>
      <c r="N178" s="18"/>
      <c r="R178" s="18"/>
    </row>
    <row r="179" spans="2:18" ht="10.5">
      <c r="B179" s="8" t="s">
        <v>99</v>
      </c>
      <c r="E179" s="55"/>
      <c r="F179" s="54">
        <f>'Базовые концовки'!F40</f>
        <v>654.69</v>
      </c>
      <c r="G179" s="54">
        <f>'Базовые концовки'!G40</f>
        <v>150.05</v>
      </c>
      <c r="H179" s="19">
        <f>'Базовые концовки'!H40</f>
        <v>21.33</v>
      </c>
      <c r="I179" s="40"/>
      <c r="J179" s="20" t="e">
        <f>'Базовые концовки'!J40</f>
        <v>#NAME?</v>
      </c>
      <c r="N179" s="54">
        <f>'Базовые концовки'!L40</f>
        <v>483.31</v>
      </c>
      <c r="R179" s="54">
        <f>'Базовые концовки'!M40</f>
        <v>0</v>
      </c>
    </row>
    <row r="180" spans="5:18" ht="10.5">
      <c r="E180" s="55"/>
      <c r="F180" s="54"/>
      <c r="G180" s="54"/>
      <c r="H180" s="18">
        <f>'Базовые концовки'!I40</f>
        <v>0.05</v>
      </c>
      <c r="I180" s="40"/>
      <c r="J180" s="7" t="e">
        <f>'Базовые концовки'!K40</f>
        <v>#NAME?</v>
      </c>
      <c r="N180" s="54"/>
      <c r="R180" s="54"/>
    </row>
    <row r="181" spans="2:18" ht="10.5" hidden="1">
      <c r="B181" s="8" t="s">
        <v>86</v>
      </c>
      <c r="E181" s="17"/>
      <c r="F181" s="18"/>
      <c r="G181" s="18"/>
      <c r="H181" s="18"/>
      <c r="J181" s="7"/>
      <c r="N181" s="18"/>
      <c r="R181" s="18"/>
    </row>
    <row r="182" spans="2:18" ht="10.5" hidden="1">
      <c r="B182" s="8" t="s">
        <v>100</v>
      </c>
      <c r="E182" s="17"/>
      <c r="F182" s="18">
        <f>'Базовые концовки'!F42</f>
        <v>0</v>
      </c>
      <c r="G182" s="18"/>
      <c r="H182" s="18"/>
      <c r="J182" s="7"/>
      <c r="N182" s="18"/>
      <c r="R182" s="18"/>
    </row>
    <row r="183" spans="2:18" ht="10.5" hidden="1">
      <c r="B183" s="8" t="s">
        <v>90</v>
      </c>
      <c r="E183" s="17"/>
      <c r="F183" s="18">
        <f>'Базовые концовки'!F43</f>
        <v>0</v>
      </c>
      <c r="G183" s="18"/>
      <c r="H183" s="18"/>
      <c r="J183" s="7"/>
      <c r="N183" s="18"/>
      <c r="R183" s="18"/>
    </row>
    <row r="184" spans="2:18" ht="10.5">
      <c r="B184" s="8" t="s">
        <v>101</v>
      </c>
      <c r="E184" s="17"/>
      <c r="F184" s="18">
        <f>'Базовые концовки'!F44</f>
        <v>167.73</v>
      </c>
      <c r="G184" s="18"/>
      <c r="H184" s="18"/>
      <c r="J184" s="7"/>
      <c r="N184" s="18"/>
      <c r="R184" s="18"/>
    </row>
    <row r="185" spans="2:18" ht="10.5">
      <c r="B185" s="8" t="s">
        <v>102</v>
      </c>
      <c r="E185" s="17"/>
      <c r="F185" s="18">
        <f>'Базовые концовки'!F45</f>
        <v>102.09</v>
      </c>
      <c r="G185" s="18"/>
      <c r="H185" s="18"/>
      <c r="J185" s="7"/>
      <c r="N185" s="18"/>
      <c r="R185" s="18"/>
    </row>
    <row r="186" spans="2:18" ht="10.5" hidden="1">
      <c r="B186" s="8" t="s">
        <v>83</v>
      </c>
      <c r="E186" s="17"/>
      <c r="F186" s="18" t="e">
        <f>'Базовые концовки'!F46</f>
        <v>#NAME?</v>
      </c>
      <c r="G186" s="18"/>
      <c r="H186" s="18"/>
      <c r="J186" s="7"/>
      <c r="N186" s="18"/>
      <c r="R186" s="18"/>
    </row>
    <row r="187" spans="2:18" ht="10.5">
      <c r="B187" s="8" t="s">
        <v>103</v>
      </c>
      <c r="E187" s="17"/>
      <c r="F187" s="18">
        <f>'Базовые концовки'!F47</f>
        <v>924.51</v>
      </c>
      <c r="G187" s="18"/>
      <c r="H187" s="18"/>
      <c r="J187" s="7"/>
      <c r="N187" s="18"/>
      <c r="R187" s="18"/>
    </row>
    <row r="188" spans="2:18" ht="10.5" hidden="1">
      <c r="B188" s="8" t="s">
        <v>104</v>
      </c>
      <c r="E188" s="17"/>
      <c r="F188" s="18">
        <f>'Базовые концовки'!F48</f>
        <v>0</v>
      </c>
      <c r="G188" s="18">
        <f>'Базовые концовки'!G48</f>
        <v>0</v>
      </c>
      <c r="H188" s="18">
        <f>'Базовые концовки'!H48</f>
        <v>0</v>
      </c>
      <c r="J188" s="7">
        <f>'Базовые концовки'!J48</f>
        <v>0</v>
      </c>
      <c r="N188" s="18">
        <f>'Базовые концовки'!L48</f>
        <v>0</v>
      </c>
      <c r="R188" s="18">
        <f>'Базовые концовки'!M48</f>
        <v>0</v>
      </c>
    </row>
    <row r="189" spans="2:18" ht="10.5" hidden="1">
      <c r="B189" s="8" t="s">
        <v>90</v>
      </c>
      <c r="E189" s="17"/>
      <c r="F189" s="18">
        <f>'Базовые концовки'!F49</f>
        <v>0</v>
      </c>
      <c r="G189" s="18"/>
      <c r="H189" s="18"/>
      <c r="J189" s="7"/>
      <c r="N189" s="18"/>
      <c r="R189" s="18"/>
    </row>
    <row r="190" spans="2:18" ht="10.5" hidden="1">
      <c r="B190" s="8" t="s">
        <v>91</v>
      </c>
      <c r="E190" s="17"/>
      <c r="F190" s="18">
        <f>'Базовые концовки'!F50</f>
        <v>0</v>
      </c>
      <c r="G190" s="18"/>
      <c r="H190" s="18"/>
      <c r="J190" s="7"/>
      <c r="N190" s="18"/>
      <c r="R190" s="18"/>
    </row>
    <row r="191" spans="2:18" ht="10.5" hidden="1">
      <c r="B191" s="8" t="s">
        <v>92</v>
      </c>
      <c r="E191" s="17"/>
      <c r="F191" s="18">
        <f>'Базовые концовки'!F51</f>
        <v>0</v>
      </c>
      <c r="G191" s="18"/>
      <c r="H191" s="18"/>
      <c r="J191" s="7"/>
      <c r="N191" s="18"/>
      <c r="R191" s="18"/>
    </row>
    <row r="192" spans="2:18" ht="10.5" hidden="1">
      <c r="B192" s="8" t="s">
        <v>105</v>
      </c>
      <c r="E192" s="17"/>
      <c r="F192" s="18">
        <f>'Базовые концовки'!F52</f>
        <v>0</v>
      </c>
      <c r="G192" s="18"/>
      <c r="H192" s="18"/>
      <c r="J192" s="7"/>
      <c r="N192" s="18"/>
      <c r="R192" s="18"/>
    </row>
    <row r="193" spans="2:18" ht="10.5" hidden="1">
      <c r="B193" s="8" t="s">
        <v>106</v>
      </c>
      <c r="E193" s="17"/>
      <c r="F193" s="18">
        <f>'Базовые концовки'!F53</f>
        <v>0</v>
      </c>
      <c r="G193" s="18">
        <f>'Базовые концовки'!G53</f>
        <v>0</v>
      </c>
      <c r="H193" s="18">
        <f>'Базовые концовки'!H53</f>
        <v>0</v>
      </c>
      <c r="J193" s="7">
        <f>'Базовые концовки'!J53</f>
        <v>0</v>
      </c>
      <c r="N193" s="18">
        <f>'Базовые концовки'!L53</f>
        <v>0</v>
      </c>
      <c r="R193" s="18">
        <f>'Базовые концовки'!M53</f>
        <v>0</v>
      </c>
    </row>
    <row r="194" spans="2:18" ht="10.5" hidden="1">
      <c r="B194" s="8" t="s">
        <v>90</v>
      </c>
      <c r="E194" s="17"/>
      <c r="F194" s="18">
        <f>'Базовые концовки'!F54</f>
        <v>0</v>
      </c>
      <c r="G194" s="18"/>
      <c r="H194" s="18"/>
      <c r="J194" s="7"/>
      <c r="N194" s="18"/>
      <c r="R194" s="18"/>
    </row>
    <row r="195" spans="2:18" ht="10.5" hidden="1">
      <c r="B195" s="8" t="s">
        <v>91</v>
      </c>
      <c r="E195" s="17"/>
      <c r="F195" s="18">
        <f>'Базовые концовки'!F55</f>
        <v>0</v>
      </c>
      <c r="G195" s="18"/>
      <c r="H195" s="18"/>
      <c r="J195" s="7"/>
      <c r="N195" s="18"/>
      <c r="R195" s="18"/>
    </row>
    <row r="196" spans="2:18" ht="10.5" hidden="1">
      <c r="B196" s="8" t="s">
        <v>92</v>
      </c>
      <c r="E196" s="17"/>
      <c r="F196" s="18">
        <f>'Базовые концовки'!F56</f>
        <v>0</v>
      </c>
      <c r="G196" s="18"/>
      <c r="H196" s="18"/>
      <c r="J196" s="7"/>
      <c r="N196" s="18"/>
      <c r="R196" s="18"/>
    </row>
    <row r="197" spans="2:18" ht="10.5" hidden="1">
      <c r="B197" s="8" t="s">
        <v>107</v>
      </c>
      <c r="E197" s="17"/>
      <c r="F197" s="18">
        <f>'Базовые концовки'!F57</f>
        <v>0</v>
      </c>
      <c r="G197" s="18"/>
      <c r="H197" s="18"/>
      <c r="J197" s="7"/>
      <c r="N197" s="18"/>
      <c r="R197" s="18"/>
    </row>
    <row r="198" spans="2:18" ht="10.5" hidden="1">
      <c r="B198" s="8" t="s">
        <v>108</v>
      </c>
      <c r="E198" s="17"/>
      <c r="F198" s="18">
        <f>'Базовые концовки'!F58</f>
        <v>0</v>
      </c>
      <c r="G198" s="18">
        <f>'Базовые концовки'!G58</f>
        <v>0</v>
      </c>
      <c r="H198" s="18">
        <f>'Базовые концовки'!H58</f>
        <v>0</v>
      </c>
      <c r="J198" s="7">
        <f>'Базовые концовки'!J58</f>
        <v>0</v>
      </c>
      <c r="N198" s="18">
        <f>'Базовые концовки'!L58</f>
        <v>0</v>
      </c>
      <c r="R198" s="18">
        <f>'Базовые концовки'!M58</f>
        <v>0</v>
      </c>
    </row>
    <row r="199" spans="2:18" ht="10.5" hidden="1">
      <c r="B199" s="8" t="s">
        <v>86</v>
      </c>
      <c r="E199" s="17"/>
      <c r="F199" s="18"/>
      <c r="G199" s="18"/>
      <c r="H199" s="18"/>
      <c r="J199" s="7"/>
      <c r="N199" s="18"/>
      <c r="R199" s="18"/>
    </row>
    <row r="200" spans="2:18" ht="10.5" hidden="1">
      <c r="B200" s="8" t="s">
        <v>109</v>
      </c>
      <c r="E200" s="17"/>
      <c r="F200" s="18">
        <f>'Базовые концовки'!F60</f>
        <v>104.1</v>
      </c>
      <c r="G200" s="18"/>
      <c r="H200" s="18"/>
      <c r="J200" s="7"/>
      <c r="N200" s="18"/>
      <c r="R200" s="18"/>
    </row>
    <row r="201" spans="2:18" ht="10.5" hidden="1">
      <c r="B201" s="8" t="s">
        <v>90</v>
      </c>
      <c r="E201" s="17"/>
      <c r="F201" s="18">
        <f>'Базовые концовки'!F61</f>
        <v>0</v>
      </c>
      <c r="G201" s="18"/>
      <c r="H201" s="18"/>
      <c r="J201" s="7"/>
      <c r="N201" s="18"/>
      <c r="R201" s="18"/>
    </row>
    <row r="202" spans="2:18" ht="10.5" hidden="1">
      <c r="B202" s="8" t="s">
        <v>110</v>
      </c>
      <c r="E202" s="17"/>
      <c r="F202" s="18">
        <f>'Базовые концовки'!F62</f>
        <v>0</v>
      </c>
      <c r="G202" s="18"/>
      <c r="H202" s="18"/>
      <c r="J202" s="7"/>
      <c r="N202" s="18"/>
      <c r="R202" s="18"/>
    </row>
    <row r="203" spans="2:18" ht="10.5" hidden="1">
      <c r="B203" s="8" t="s">
        <v>92</v>
      </c>
      <c r="E203" s="17"/>
      <c r="F203" s="18">
        <f>'Базовые концовки'!F63</f>
        <v>0</v>
      </c>
      <c r="G203" s="18"/>
      <c r="H203" s="18"/>
      <c r="J203" s="7"/>
      <c r="N203" s="18"/>
      <c r="R203" s="18"/>
    </row>
    <row r="204" spans="2:18" ht="10.5" hidden="1">
      <c r="B204" s="8" t="s">
        <v>111</v>
      </c>
      <c r="E204" s="17"/>
      <c r="F204" s="18">
        <f>'Базовые концовки'!F64</f>
        <v>0</v>
      </c>
      <c r="G204" s="18"/>
      <c r="H204" s="18"/>
      <c r="J204" s="7"/>
      <c r="N204" s="18"/>
      <c r="R204" s="18"/>
    </row>
    <row r="205" spans="2:18" ht="10.5" hidden="1">
      <c r="B205" s="8" t="s">
        <v>112</v>
      </c>
      <c r="E205" s="17"/>
      <c r="F205" s="18">
        <f>'Базовые концовки'!F65</f>
        <v>0</v>
      </c>
      <c r="G205" s="18">
        <f>'Базовые концовки'!G65</f>
        <v>0</v>
      </c>
      <c r="H205" s="18">
        <f>'Базовые концовки'!H65</f>
        <v>0</v>
      </c>
      <c r="J205" s="7">
        <f>'Базовые концовки'!J65</f>
        <v>0</v>
      </c>
      <c r="N205" s="18">
        <f>'Базовые концовки'!L65</f>
        <v>0</v>
      </c>
      <c r="R205" s="18">
        <f>'Базовые концовки'!M65</f>
        <v>0</v>
      </c>
    </row>
    <row r="206" spans="2:18" ht="10.5" hidden="1">
      <c r="B206" s="8" t="s">
        <v>110</v>
      </c>
      <c r="E206" s="17"/>
      <c r="F206" s="18">
        <f>'Базовые концовки'!F66</f>
        <v>0</v>
      </c>
      <c r="G206" s="18"/>
      <c r="H206" s="18"/>
      <c r="J206" s="7"/>
      <c r="N206" s="18"/>
      <c r="R206" s="18"/>
    </row>
    <row r="207" spans="2:18" ht="10.5" hidden="1">
      <c r="B207" s="8" t="s">
        <v>92</v>
      </c>
      <c r="E207" s="17"/>
      <c r="F207" s="18">
        <f>'Базовые концовки'!F67</f>
        <v>0</v>
      </c>
      <c r="G207" s="18"/>
      <c r="H207" s="18"/>
      <c r="J207" s="7"/>
      <c r="N207" s="18"/>
      <c r="R207" s="18"/>
    </row>
    <row r="208" spans="2:18" ht="10.5" hidden="1">
      <c r="B208" s="8" t="s">
        <v>113</v>
      </c>
      <c r="E208" s="17"/>
      <c r="F208" s="18">
        <f>'Базовые концовки'!F68</f>
        <v>0</v>
      </c>
      <c r="G208" s="18"/>
      <c r="H208" s="18"/>
      <c r="J208" s="7"/>
      <c r="N208" s="18"/>
      <c r="R208" s="18"/>
    </row>
    <row r="209" spans="2:18" ht="10.5" hidden="1">
      <c r="B209" s="8" t="s">
        <v>114</v>
      </c>
      <c r="E209" s="17"/>
      <c r="F209" s="18">
        <f>'Базовые концовки'!F69</f>
        <v>0</v>
      </c>
      <c r="G209" s="18">
        <f>'Базовые концовки'!G69</f>
        <v>0</v>
      </c>
      <c r="H209" s="18">
        <f>'Базовые концовки'!H69</f>
        <v>0</v>
      </c>
      <c r="J209" s="7">
        <f>'Базовые концовки'!J69</f>
        <v>0</v>
      </c>
      <c r="N209" s="18">
        <f>'Базовые концовки'!L69</f>
        <v>0</v>
      </c>
      <c r="R209" s="18">
        <f>'Базовые концовки'!M69</f>
        <v>0</v>
      </c>
    </row>
    <row r="210" spans="2:18" ht="10.5" hidden="1">
      <c r="B210" s="8" t="s">
        <v>90</v>
      </c>
      <c r="E210" s="17"/>
      <c r="F210" s="18">
        <f>'Базовые концовки'!F70</f>
        <v>0</v>
      </c>
      <c r="G210" s="18"/>
      <c r="H210" s="18"/>
      <c r="J210" s="7"/>
      <c r="N210" s="18"/>
      <c r="R210" s="18"/>
    </row>
    <row r="211" spans="2:18" ht="10.5" hidden="1">
      <c r="B211" s="8" t="s">
        <v>110</v>
      </c>
      <c r="E211" s="17"/>
      <c r="F211" s="18">
        <f>'Базовые концовки'!F71</f>
        <v>0</v>
      </c>
      <c r="G211" s="18"/>
      <c r="H211" s="18"/>
      <c r="J211" s="7"/>
      <c r="N211" s="18"/>
      <c r="R211" s="18"/>
    </row>
    <row r="212" spans="2:18" ht="10.5" hidden="1">
      <c r="B212" s="8" t="s">
        <v>92</v>
      </c>
      <c r="E212" s="17"/>
      <c r="F212" s="18">
        <f>'Базовые концовки'!F72</f>
        <v>0</v>
      </c>
      <c r="G212" s="18"/>
      <c r="H212" s="18"/>
      <c r="J212" s="7"/>
      <c r="N212" s="18"/>
      <c r="R212" s="18"/>
    </row>
    <row r="213" spans="2:18" ht="10.5" hidden="1">
      <c r="B213" s="8" t="s">
        <v>115</v>
      </c>
      <c r="E213" s="17"/>
      <c r="F213" s="18">
        <f>'Базовые концовки'!F73</f>
        <v>0</v>
      </c>
      <c r="G213" s="18"/>
      <c r="H213" s="18"/>
      <c r="J213" s="7"/>
      <c r="N213" s="18"/>
      <c r="R213" s="18"/>
    </row>
    <row r="214" spans="2:18" ht="10.5" hidden="1">
      <c r="B214" s="8" t="s">
        <v>116</v>
      </c>
      <c r="E214" s="17"/>
      <c r="F214" s="18">
        <f>'Базовые концовки'!F74</f>
        <v>0</v>
      </c>
      <c r="G214" s="18">
        <f>'Базовые концовки'!G74</f>
        <v>0</v>
      </c>
      <c r="H214" s="18">
        <f>'Базовые концовки'!H74</f>
        <v>0</v>
      </c>
      <c r="J214" s="7">
        <f>'Базовые концовки'!J74</f>
        <v>0</v>
      </c>
      <c r="N214" s="18">
        <f>'Базовые концовки'!L74</f>
        <v>0</v>
      </c>
      <c r="R214" s="18">
        <f>'Базовые концовки'!M74</f>
        <v>0</v>
      </c>
    </row>
    <row r="215" spans="2:18" ht="10.5" hidden="1">
      <c r="B215" s="8" t="s">
        <v>90</v>
      </c>
      <c r="E215" s="17"/>
      <c r="F215" s="18">
        <f>'Базовые концовки'!F75</f>
        <v>0</v>
      </c>
      <c r="G215" s="18"/>
      <c r="H215" s="18"/>
      <c r="J215" s="7"/>
      <c r="N215" s="18"/>
      <c r="R215" s="18"/>
    </row>
    <row r="216" spans="2:18" ht="10.5">
      <c r="B216" s="8" t="s">
        <v>117</v>
      </c>
      <c r="E216" s="17"/>
      <c r="F216" s="18" t="e">
        <f>'Базовые концовки'!F76</f>
        <v>#NAME?</v>
      </c>
      <c r="G216" s="18">
        <f>'Базовые концовки'!G76</f>
        <v>0</v>
      </c>
      <c r="H216" s="18">
        <f>'Базовые концовки'!H76</f>
        <v>0</v>
      </c>
      <c r="J216" s="7">
        <f>'Базовые концовки'!J76</f>
        <v>0</v>
      </c>
      <c r="N216" s="18">
        <f>'Базовые концовки'!L76</f>
        <v>0</v>
      </c>
      <c r="R216" s="18">
        <f>'Базовые концовки'!M76</f>
        <v>0</v>
      </c>
    </row>
    <row r="217" spans="2:18" ht="10.5" hidden="1">
      <c r="B217" s="8" t="s">
        <v>118</v>
      </c>
      <c r="E217" s="17"/>
      <c r="F217" s="18">
        <f>'Базовые концовки'!F77</f>
        <v>0</v>
      </c>
      <c r="G217" s="18"/>
      <c r="H217" s="18"/>
      <c r="J217" s="7"/>
      <c r="N217" s="18"/>
      <c r="R217" s="18"/>
    </row>
    <row r="218" spans="2:18" ht="10.5">
      <c r="B218" s="8" t="s">
        <v>119</v>
      </c>
      <c r="E218" s="17"/>
      <c r="F218" s="18">
        <f>'Базовые концовки'!F78</f>
        <v>167.73</v>
      </c>
      <c r="G218" s="18"/>
      <c r="H218" s="18"/>
      <c r="J218" s="7"/>
      <c r="N218" s="18"/>
      <c r="R218" s="18"/>
    </row>
    <row r="219" spans="2:18" ht="10.5">
      <c r="B219" s="8" t="s">
        <v>120</v>
      </c>
      <c r="E219" s="17"/>
      <c r="F219" s="18">
        <f>'Базовые концовки'!F79</f>
        <v>102.09</v>
      </c>
      <c r="G219" s="18"/>
      <c r="H219" s="18"/>
      <c r="J219" s="7"/>
      <c r="N219" s="18"/>
      <c r="R219" s="18"/>
    </row>
    <row r="220" spans="2:18" ht="10.5">
      <c r="B220" s="8" t="s">
        <v>121</v>
      </c>
      <c r="E220" s="17">
        <v>3.04</v>
      </c>
      <c r="F220" s="18" t="e">
        <f>'Базовые концовки'!F80</f>
        <v>#NAME?</v>
      </c>
      <c r="G220" s="18"/>
      <c r="H220" s="18"/>
      <c r="J220" s="7"/>
      <c r="N220" s="18"/>
      <c r="R220" s="18"/>
    </row>
    <row r="221" spans="2:18" ht="10.5">
      <c r="B221" s="8" t="s">
        <v>122</v>
      </c>
      <c r="E221" s="17">
        <v>18</v>
      </c>
      <c r="F221" s="18" t="e">
        <f>'Базовые концовки'!F81</f>
        <v>#NAME?</v>
      </c>
      <c r="G221" s="18"/>
      <c r="H221" s="18"/>
      <c r="J221" s="7"/>
      <c r="N221" s="18"/>
      <c r="R221" s="18"/>
    </row>
    <row r="222" spans="2:18" ht="10.5">
      <c r="B222" s="8" t="s">
        <v>123</v>
      </c>
      <c r="E222" s="17"/>
      <c r="F222" s="18" t="e">
        <f>'Базовые концовки'!F82</f>
        <v>#NAME?</v>
      </c>
      <c r="G222" s="18"/>
      <c r="H222" s="18"/>
      <c r="J222" s="7"/>
      <c r="N222" s="18"/>
      <c r="R222" s="18"/>
    </row>
    <row r="223" spans="2:18" ht="10.5" hidden="1">
      <c r="B223" s="8" t="s">
        <v>124</v>
      </c>
      <c r="E223" s="17"/>
      <c r="F223" s="18"/>
      <c r="G223" s="18"/>
      <c r="H223" s="18"/>
      <c r="J223" s="7"/>
      <c r="N223" s="18">
        <f>'Базовые концовки'!L83</f>
        <v>0</v>
      </c>
      <c r="R223" s="18"/>
    </row>
    <row r="224" spans="2:18" ht="10.5" hidden="1">
      <c r="B224" s="8" t="s">
        <v>125</v>
      </c>
      <c r="E224" s="17"/>
      <c r="F224" s="18">
        <f>'Базовые концовки'!F84</f>
        <v>150.05</v>
      </c>
      <c r="G224" s="18"/>
      <c r="H224" s="18"/>
      <c r="J224" s="7"/>
      <c r="N224" s="18"/>
      <c r="R224" s="18"/>
    </row>
    <row r="225" spans="2:18" ht="10.5" hidden="1">
      <c r="B225" s="8" t="s">
        <v>126</v>
      </c>
      <c r="E225" s="17"/>
      <c r="F225" s="18">
        <f>'Базовые концовки'!F85</f>
        <v>0.05</v>
      </c>
      <c r="G225" s="18"/>
      <c r="H225" s="18"/>
      <c r="J225" s="7"/>
      <c r="N225" s="18"/>
      <c r="R225" s="18"/>
    </row>
    <row r="226" spans="2:18" ht="10.5" hidden="1">
      <c r="B226" s="8" t="s">
        <v>127</v>
      </c>
      <c r="E226" s="17"/>
      <c r="F226" s="18">
        <f>'Базовые концовки'!F86</f>
        <v>150.1</v>
      </c>
      <c r="G226" s="18"/>
      <c r="H226" s="18"/>
      <c r="J226" s="7"/>
      <c r="N226" s="18"/>
      <c r="R226" s="18"/>
    </row>
    <row r="227" spans="2:18" ht="10.5" hidden="1">
      <c r="B227" s="8" t="s">
        <v>128</v>
      </c>
      <c r="E227" s="17"/>
      <c r="F227" s="18"/>
      <c r="G227" s="18"/>
      <c r="H227" s="18"/>
      <c r="J227" s="7" t="e">
        <f>'Базовые концовки'!J87</f>
        <v>#NAME?</v>
      </c>
      <c r="N227" s="18"/>
      <c r="R227" s="18"/>
    </row>
    <row r="228" spans="2:18" ht="10.5" hidden="1">
      <c r="B228" s="8" t="s">
        <v>129</v>
      </c>
      <c r="E228" s="17"/>
      <c r="F228" s="18"/>
      <c r="G228" s="18"/>
      <c r="H228" s="18"/>
      <c r="J228" s="7" t="e">
        <f>'Базовые концовки'!J88</f>
        <v>#NAME?</v>
      </c>
      <c r="N228" s="18"/>
      <c r="R228" s="18"/>
    </row>
    <row r="229" spans="2:18" ht="10.5" hidden="1">
      <c r="B229" s="8" t="s">
        <v>130</v>
      </c>
      <c r="E229" s="17"/>
      <c r="F229" s="18"/>
      <c r="G229" s="18"/>
      <c r="H229" s="18"/>
      <c r="J229" s="7" t="e">
        <f>'Базовые концовки'!J89</f>
        <v>#NAME?</v>
      </c>
      <c r="N229" s="18"/>
      <c r="R229" s="18"/>
    </row>
    <row r="231" spans="2:12" ht="10.5">
      <c r="B231" s="5" t="s">
        <v>131</v>
      </c>
      <c r="C231" s="34"/>
      <c r="D231" s="35"/>
      <c r="E231" s="35"/>
      <c r="F231" s="35"/>
      <c r="G231" s="35"/>
      <c r="H231" s="35"/>
      <c r="I231" s="35"/>
      <c r="J231" s="35"/>
      <c r="K231" s="35"/>
      <c r="L231" s="35"/>
    </row>
    <row r="232" spans="3:12" ht="10.5">
      <c r="C232" s="36" t="s">
        <v>324</v>
      </c>
      <c r="D232" s="36"/>
      <c r="E232" s="36"/>
      <c r="F232" s="36"/>
      <c r="G232" s="36"/>
      <c r="H232" s="36"/>
      <c r="I232" s="36"/>
      <c r="J232" s="36"/>
      <c r="K232" s="36"/>
      <c r="L232" s="36"/>
    </row>
    <row r="234" spans="1:12" ht="10.5">
      <c r="A234" s="21"/>
      <c r="B234" s="5" t="s">
        <v>132</v>
      </c>
      <c r="C234" s="34"/>
      <c r="D234" s="35"/>
      <c r="E234" s="35"/>
      <c r="F234" s="35"/>
      <c r="G234" s="35"/>
      <c r="H234" s="35"/>
      <c r="I234" s="35"/>
      <c r="J234" s="35"/>
      <c r="K234" s="35"/>
      <c r="L234" s="35"/>
    </row>
    <row r="235" spans="3:12" ht="10.5">
      <c r="C235" s="37" t="s">
        <v>324</v>
      </c>
      <c r="D235" s="37"/>
      <c r="E235" s="37"/>
      <c r="F235" s="37"/>
      <c r="G235" s="37"/>
      <c r="H235" s="37"/>
      <c r="I235" s="37"/>
      <c r="J235" s="37"/>
      <c r="K235" s="37"/>
      <c r="L235" s="37"/>
    </row>
  </sheetData>
  <sheetProtection/>
  <mergeCells count="129">
    <mergeCell ref="H19:I19"/>
    <mergeCell ref="R145:R146"/>
    <mergeCell ref="N118:N119"/>
    <mergeCell ref="N99:N100"/>
    <mergeCell ref="N109:N110"/>
    <mergeCell ref="B90:J90"/>
    <mergeCell ref="B91:J91"/>
    <mergeCell ref="G99:G100"/>
    <mergeCell ref="E145:E146"/>
    <mergeCell ref="F145:F146"/>
    <mergeCell ref="G136:G137"/>
    <mergeCell ref="E179:E180"/>
    <mergeCell ref="F179:F180"/>
    <mergeCell ref="G179:G180"/>
    <mergeCell ref="N179:N180"/>
    <mergeCell ref="I179:I180"/>
    <mergeCell ref="A127:A128"/>
    <mergeCell ref="B127:B128"/>
    <mergeCell ref="R179:R180"/>
    <mergeCell ref="N136:N137"/>
    <mergeCell ref="F136:F137"/>
    <mergeCell ref="C127:C128"/>
    <mergeCell ref="N127:N128"/>
    <mergeCell ref="G145:G146"/>
    <mergeCell ref="N145:N146"/>
    <mergeCell ref="I145:I146"/>
    <mergeCell ref="A118:A119"/>
    <mergeCell ref="B118:B119"/>
    <mergeCell ref="C118:C119"/>
    <mergeCell ref="G118:G119"/>
    <mergeCell ref="F118:F119"/>
    <mergeCell ref="A136:A137"/>
    <mergeCell ref="B136:B137"/>
    <mergeCell ref="C136:C137"/>
    <mergeCell ref="G127:G128"/>
    <mergeCell ref="F127:F128"/>
    <mergeCell ref="B101:J101"/>
    <mergeCell ref="A109:A110"/>
    <mergeCell ref="B109:B110"/>
    <mergeCell ref="C109:C110"/>
    <mergeCell ref="G109:G110"/>
    <mergeCell ref="F109:F110"/>
    <mergeCell ref="F99:F100"/>
    <mergeCell ref="A99:A100"/>
    <mergeCell ref="B99:B100"/>
    <mergeCell ref="C99:C100"/>
    <mergeCell ref="B80:J80"/>
    <mergeCell ref="A88:A89"/>
    <mergeCell ref="B88:B89"/>
    <mergeCell ref="C88:C89"/>
    <mergeCell ref="G88:G89"/>
    <mergeCell ref="B78:B79"/>
    <mergeCell ref="C78:C79"/>
    <mergeCell ref="G78:G79"/>
    <mergeCell ref="N88:N89"/>
    <mergeCell ref="F88:F89"/>
    <mergeCell ref="B58:J58"/>
    <mergeCell ref="B59:J59"/>
    <mergeCell ref="N67:N68"/>
    <mergeCell ref="F67:F68"/>
    <mergeCell ref="B69:J69"/>
    <mergeCell ref="B70:J70"/>
    <mergeCell ref="A67:A68"/>
    <mergeCell ref="B67:B68"/>
    <mergeCell ref="C67:C68"/>
    <mergeCell ref="G67:G68"/>
    <mergeCell ref="N78:N79"/>
    <mergeCell ref="F78:F79"/>
    <mergeCell ref="A78:A79"/>
    <mergeCell ref="B48:J48"/>
    <mergeCell ref="A56:A57"/>
    <mergeCell ref="B56:B57"/>
    <mergeCell ref="C56:C57"/>
    <mergeCell ref="G56:G57"/>
    <mergeCell ref="N56:N57"/>
    <mergeCell ref="F56:F57"/>
    <mergeCell ref="B38:J38"/>
    <mergeCell ref="A46:A47"/>
    <mergeCell ref="B46:B47"/>
    <mergeCell ref="C46:C47"/>
    <mergeCell ref="G46:G47"/>
    <mergeCell ref="N46:N47"/>
    <mergeCell ref="F46:F47"/>
    <mergeCell ref="N26:N27"/>
    <mergeCell ref="F26:F27"/>
    <mergeCell ref="B28:J28"/>
    <mergeCell ref="A36:A37"/>
    <mergeCell ref="B36:B37"/>
    <mergeCell ref="C36:C37"/>
    <mergeCell ref="G36:G37"/>
    <mergeCell ref="N36:N37"/>
    <mergeCell ref="F36:F37"/>
    <mergeCell ref="A26:A27"/>
    <mergeCell ref="B26:B27"/>
    <mergeCell ref="C26:C27"/>
    <mergeCell ref="G26:G27"/>
    <mergeCell ref="A20:J20"/>
    <mergeCell ref="A22:A24"/>
    <mergeCell ref="B22:B24"/>
    <mergeCell ref="C22:C24"/>
    <mergeCell ref="D22:E22"/>
    <mergeCell ref="F23:F24"/>
    <mergeCell ref="G23:G24"/>
    <mergeCell ref="F22:H22"/>
    <mergeCell ref="I22:J22"/>
    <mergeCell ref="I23:J23"/>
    <mergeCell ref="A9:D9"/>
    <mergeCell ref="F9:I9"/>
    <mergeCell ref="A13:J13"/>
    <mergeCell ref="A15:J15"/>
    <mergeCell ref="A14:J14"/>
    <mergeCell ref="H17:I17"/>
    <mergeCell ref="H18:I18"/>
    <mergeCell ref="A6:D6"/>
    <mergeCell ref="F6:I6"/>
    <mergeCell ref="A7:D7"/>
    <mergeCell ref="F7:I7"/>
    <mergeCell ref="A8:D8"/>
    <mergeCell ref="F8:I8"/>
    <mergeCell ref="C231:L231"/>
    <mergeCell ref="C232:L232"/>
    <mergeCell ref="C234:L234"/>
    <mergeCell ref="C235:L235"/>
    <mergeCell ref="A3:D3"/>
    <mergeCell ref="F3:I3"/>
    <mergeCell ref="A4:B4"/>
    <mergeCell ref="F4:G4"/>
    <mergeCell ref="A5:D5"/>
    <mergeCell ref="F5:I5"/>
  </mergeCells>
  <printOptions/>
  <pageMargins left="0.39370078740157477" right="0.39370078740157477" top="0.7874015748031495" bottom="0.39370078740157477" header="0.7874015748031495" footer="0.39370078740157477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17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3" customWidth="1"/>
    <col min="2" max="16384" width="9.140625" style="22" customWidth="1"/>
  </cols>
  <sheetData>
    <row r="1" spans="1:30" s="24" customFormat="1" ht="10.5">
      <c r="A1" s="7"/>
      <c r="B1" s="24" t="s">
        <v>133</v>
      </c>
      <c r="C1" s="24" t="s">
        <v>134</v>
      </c>
      <c r="D1" s="24" t="s">
        <v>135</v>
      </c>
      <c r="E1" s="24" t="s">
        <v>136</v>
      </c>
      <c r="F1" s="24" t="s">
        <v>137</v>
      </c>
      <c r="G1" s="24" t="s">
        <v>138</v>
      </c>
      <c r="H1" s="24" t="s">
        <v>139</v>
      </c>
      <c r="I1" s="24" t="s">
        <v>140</v>
      </c>
      <c r="J1" s="24" t="s">
        <v>141</v>
      </c>
      <c r="K1" s="24" t="s">
        <v>142</v>
      </c>
      <c r="L1" s="24" t="s">
        <v>143</v>
      </c>
      <c r="M1" s="24" t="s">
        <v>144</v>
      </c>
      <c r="N1" s="24" t="s">
        <v>145</v>
      </c>
      <c r="O1" s="24" t="s">
        <v>146</v>
      </c>
      <c r="P1" s="24" t="s">
        <v>147</v>
      </c>
      <c r="Q1" s="24" t="s">
        <v>148</v>
      </c>
      <c r="R1" s="24" t="s">
        <v>149</v>
      </c>
      <c r="S1" s="24" t="s">
        <v>150</v>
      </c>
      <c r="T1" s="24" t="s">
        <v>151</v>
      </c>
      <c r="U1" s="24" t="s">
        <v>152</v>
      </c>
      <c r="V1" s="24" t="s">
        <v>153</v>
      </c>
      <c r="X1" s="24" t="s">
        <v>154</v>
      </c>
      <c r="Y1" s="24" t="s">
        <v>155</v>
      </c>
      <c r="Z1" s="24" t="s">
        <v>156</v>
      </c>
      <c r="AA1" s="24" t="s">
        <v>157</v>
      </c>
      <c r="AB1" s="24" t="s">
        <v>158</v>
      </c>
      <c r="AC1" s="24" t="s">
        <v>159</v>
      </c>
      <c r="AD1" s="24" t="s">
        <v>160</v>
      </c>
    </row>
    <row r="2" spans="1:10" ht="10.5">
      <c r="A2" s="56"/>
      <c r="B2" s="57"/>
      <c r="C2" s="57"/>
      <c r="D2" s="57"/>
      <c r="E2" s="57"/>
      <c r="F2" s="57"/>
      <c r="G2" s="57"/>
      <c r="H2" s="57"/>
      <c r="I2" s="57"/>
      <c r="J2" s="57"/>
    </row>
    <row r="3" spans="1:10" ht="10.5">
      <c r="A3" s="25"/>
      <c r="B3" s="58" t="s">
        <v>161</v>
      </c>
      <c r="C3" s="58"/>
      <c r="D3" s="58"/>
      <c r="E3" s="58"/>
      <c r="F3" s="58"/>
      <c r="G3" s="58"/>
      <c r="H3" s="58"/>
      <c r="I3" s="58"/>
      <c r="J3" s="58"/>
    </row>
    <row r="4" spans="1:10" ht="10.5">
      <c r="A4" s="25"/>
      <c r="B4" s="58" t="s">
        <v>162</v>
      </c>
      <c r="C4" s="58"/>
      <c r="D4" s="58"/>
      <c r="E4" s="58"/>
      <c r="F4" s="58"/>
      <c r="G4" s="58"/>
      <c r="H4" s="58"/>
      <c r="I4" s="58"/>
      <c r="J4" s="58"/>
    </row>
    <row r="5" spans="1:10" ht="10.5">
      <c r="A5" s="56"/>
      <c r="B5" s="57"/>
      <c r="C5" s="57"/>
      <c r="D5" s="57"/>
      <c r="E5" s="57"/>
      <c r="F5" s="57"/>
      <c r="G5" s="57"/>
      <c r="H5" s="57"/>
      <c r="I5" s="57"/>
      <c r="J5" s="57"/>
    </row>
    <row r="6" spans="1:30" ht="10.5">
      <c r="A6" s="22" t="str">
        <f>'Форма 4'!A26</f>
        <v>1.</v>
      </c>
      <c r="B6" s="22">
        <f aca="true" t="shared" si="0" ref="B6:B17">ROUND(C6+D6+F6,2)</f>
        <v>2.33</v>
      </c>
      <c r="C6" s="22">
        <f>'Форма 4'!D27</f>
        <v>1.95</v>
      </c>
      <c r="D6" s="22">
        <f>'Форма 4'!E26</f>
        <v>0.38</v>
      </c>
      <c r="E6" s="22">
        <f>'Форма 4'!E27</f>
        <v>0</v>
      </c>
      <c r="F6" s="22">
        <v>0</v>
      </c>
      <c r="G6" s="22">
        <v>0</v>
      </c>
      <c r="H6" s="22">
        <v>0</v>
      </c>
      <c r="I6" s="23">
        <f>'Форма 4'!I26</f>
        <v>0.164</v>
      </c>
      <c r="J6" s="23">
        <v>0</v>
      </c>
      <c r="K6" s="23">
        <f>'Форма 4'!I27</f>
        <v>0</v>
      </c>
      <c r="L6" s="22">
        <v>0</v>
      </c>
      <c r="M6" s="22">
        <v>0</v>
      </c>
      <c r="N6" s="22">
        <v>2.2425</v>
      </c>
      <c r="O6" s="22">
        <v>1.3845</v>
      </c>
      <c r="P6" s="22">
        <v>2.2425</v>
      </c>
      <c r="Q6" s="22">
        <v>0</v>
      </c>
      <c r="R6" s="22">
        <v>1.3845</v>
      </c>
      <c r="S6" s="22">
        <v>0</v>
      </c>
      <c r="T6" s="22">
        <v>0</v>
      </c>
      <c r="U6" s="22">
        <v>0</v>
      </c>
      <c r="V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</row>
    <row r="7" spans="1:30" ht="10.5">
      <c r="A7" s="22" t="str">
        <f>'Форма 4'!A36</f>
        <v>2.</v>
      </c>
      <c r="B7" s="22">
        <f t="shared" si="0"/>
        <v>7.9</v>
      </c>
      <c r="C7" s="22">
        <f>'Форма 4'!D37</f>
        <v>5.61</v>
      </c>
      <c r="D7" s="22">
        <f>'Форма 4'!E36</f>
        <v>1.2</v>
      </c>
      <c r="E7" s="22">
        <f>'Форма 4'!E37</f>
        <v>0</v>
      </c>
      <c r="F7" s="22">
        <v>1.09</v>
      </c>
      <c r="G7" s="22">
        <v>0</v>
      </c>
      <c r="H7" s="22">
        <v>0</v>
      </c>
      <c r="I7" s="23">
        <f>'Форма 4'!I36</f>
        <v>0.4715</v>
      </c>
      <c r="J7" s="23">
        <v>0</v>
      </c>
      <c r="K7" s="23">
        <f>'Форма 4'!I37</f>
        <v>0</v>
      </c>
      <c r="L7" s="22">
        <v>0</v>
      </c>
      <c r="M7" s="22">
        <v>0</v>
      </c>
      <c r="N7" s="22">
        <v>6.4515</v>
      </c>
      <c r="O7" s="22">
        <v>3.9831</v>
      </c>
      <c r="P7" s="22">
        <v>6.4515</v>
      </c>
      <c r="Q7" s="22">
        <v>0</v>
      </c>
      <c r="R7" s="22">
        <v>3.9831</v>
      </c>
      <c r="S7" s="22">
        <v>0</v>
      </c>
      <c r="T7" s="22">
        <v>0</v>
      </c>
      <c r="U7" s="22">
        <v>0</v>
      </c>
      <c r="V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</row>
    <row r="8" spans="1:30" ht="10.5">
      <c r="A8" s="22" t="str">
        <f>'Форма 4'!A46</f>
        <v>3.</v>
      </c>
      <c r="B8" s="22">
        <f t="shared" si="0"/>
        <v>152.96</v>
      </c>
      <c r="C8" s="22">
        <f>'Форма 4'!D47</f>
        <v>0</v>
      </c>
      <c r="D8" s="22">
        <f>'Форма 4'!E46</f>
        <v>0</v>
      </c>
      <c r="E8" s="22">
        <f>'Форма 4'!E47</f>
        <v>0</v>
      </c>
      <c r="F8" s="22">
        <v>152.96</v>
      </c>
      <c r="G8" s="22">
        <v>0</v>
      </c>
      <c r="H8" s="22">
        <v>0</v>
      </c>
      <c r="I8" s="23">
        <f>'Форма 4'!I46</f>
        <v>0</v>
      </c>
      <c r="J8" s="23">
        <v>0</v>
      </c>
      <c r="K8" s="23">
        <f>'Форма 4'!I47</f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</row>
    <row r="9" spans="1:30" ht="10.5">
      <c r="A9" s="22" t="str">
        <f>'Форма 4'!A56</f>
        <v>4.</v>
      </c>
      <c r="B9" s="22">
        <f t="shared" si="0"/>
        <v>6.16</v>
      </c>
      <c r="C9" s="22">
        <f>'Форма 4'!D57</f>
        <v>3.89</v>
      </c>
      <c r="D9" s="22">
        <f>'Форма 4'!E56</f>
        <v>2.27</v>
      </c>
      <c r="E9" s="22">
        <f>'Форма 4'!E57</f>
        <v>0.01</v>
      </c>
      <c r="F9" s="22">
        <v>0</v>
      </c>
      <c r="G9" s="22">
        <v>0</v>
      </c>
      <c r="H9" s="22">
        <v>0</v>
      </c>
      <c r="I9" s="23">
        <f>'Форма 4'!I56</f>
        <v>0.3272</v>
      </c>
      <c r="J9" s="23">
        <v>0</v>
      </c>
      <c r="K9" s="23">
        <f>'Форма 4'!I57</f>
        <v>0.0004</v>
      </c>
      <c r="L9" s="22">
        <v>0</v>
      </c>
      <c r="M9" s="22">
        <v>0</v>
      </c>
      <c r="N9" s="22">
        <v>4.485</v>
      </c>
      <c r="O9" s="22">
        <v>2.769</v>
      </c>
      <c r="P9" s="22">
        <v>4.4735</v>
      </c>
      <c r="Q9" s="22">
        <v>0.0115</v>
      </c>
      <c r="R9" s="22">
        <v>2.7619</v>
      </c>
      <c r="S9" s="22">
        <v>0.0071</v>
      </c>
      <c r="T9" s="22">
        <v>0</v>
      </c>
      <c r="U9" s="22">
        <v>0</v>
      </c>
      <c r="V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</row>
    <row r="10" spans="1:30" ht="10.5">
      <c r="A10" s="22" t="str">
        <f>'Форма 4'!A67</f>
        <v>5.</v>
      </c>
      <c r="B10" s="22">
        <f t="shared" si="0"/>
        <v>19.04</v>
      </c>
      <c r="C10" s="22">
        <f>'Форма 4'!D68</f>
        <v>11.19</v>
      </c>
      <c r="D10" s="22">
        <f>'Форма 4'!E67</f>
        <v>7.1</v>
      </c>
      <c r="E10" s="22">
        <f>'Форма 4'!E68</f>
        <v>0.03</v>
      </c>
      <c r="F10" s="22">
        <v>0.75</v>
      </c>
      <c r="G10" s="22">
        <v>0</v>
      </c>
      <c r="H10" s="22">
        <v>0</v>
      </c>
      <c r="I10" s="23">
        <f>'Форма 4'!I67</f>
        <v>0.9407</v>
      </c>
      <c r="J10" s="23">
        <v>0</v>
      </c>
      <c r="K10" s="23">
        <f>'Форма 4'!I68</f>
        <v>0.00125</v>
      </c>
      <c r="L10" s="22">
        <v>0</v>
      </c>
      <c r="M10" s="22">
        <v>0</v>
      </c>
      <c r="N10" s="22">
        <v>12.903</v>
      </c>
      <c r="O10" s="22">
        <v>7.9662</v>
      </c>
      <c r="P10" s="22">
        <v>12.8685</v>
      </c>
      <c r="Q10" s="22">
        <v>0.0345</v>
      </c>
      <c r="R10" s="22">
        <v>7.9449</v>
      </c>
      <c r="S10" s="22">
        <v>0.0213</v>
      </c>
      <c r="T10" s="22">
        <v>0</v>
      </c>
      <c r="U10" s="22">
        <v>0</v>
      </c>
      <c r="V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</row>
    <row r="11" spans="1:30" ht="10.5">
      <c r="A11" s="22" t="str">
        <f>'Форма 4'!A78</f>
        <v>6.</v>
      </c>
      <c r="B11" s="22">
        <f t="shared" si="0"/>
        <v>39.47</v>
      </c>
      <c r="C11" s="22">
        <f>'Форма 4'!D79</f>
        <v>0</v>
      </c>
      <c r="D11" s="22">
        <f>'Форма 4'!E78</f>
        <v>0</v>
      </c>
      <c r="E11" s="22">
        <f>'Форма 4'!E79</f>
        <v>0</v>
      </c>
      <c r="F11" s="22">
        <v>39.47</v>
      </c>
      <c r="G11" s="22">
        <v>0</v>
      </c>
      <c r="H11" s="22">
        <v>0</v>
      </c>
      <c r="I11" s="23">
        <f>'Форма 4'!I78</f>
        <v>0</v>
      </c>
      <c r="J11" s="23">
        <v>0</v>
      </c>
      <c r="K11" s="23">
        <f>'Форма 4'!I79</f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</row>
    <row r="12" spans="1:30" ht="10.5">
      <c r="A12" s="22" t="str">
        <f>'Форма 4'!A88</f>
        <v>7.</v>
      </c>
      <c r="B12" s="22">
        <f t="shared" si="0"/>
        <v>25.43</v>
      </c>
      <c r="C12" s="22">
        <f>'Форма 4'!D89</f>
        <v>22.37</v>
      </c>
      <c r="D12" s="22">
        <f>'Форма 4'!E88</f>
        <v>1.98</v>
      </c>
      <c r="E12" s="22">
        <f>'Форма 4'!E89</f>
        <v>0</v>
      </c>
      <c r="F12" s="22">
        <v>1.08</v>
      </c>
      <c r="G12" s="22">
        <v>0</v>
      </c>
      <c r="H12" s="22">
        <v>0</v>
      </c>
      <c r="I12" s="23">
        <f>'Форма 4'!I88</f>
        <v>1.784</v>
      </c>
      <c r="J12" s="23">
        <v>0</v>
      </c>
      <c r="K12" s="23">
        <f>'Форма 4'!I89</f>
        <v>0</v>
      </c>
      <c r="L12" s="22">
        <v>0</v>
      </c>
      <c r="M12" s="22">
        <v>0</v>
      </c>
      <c r="N12" s="22">
        <v>25.7255</v>
      </c>
      <c r="O12" s="22">
        <v>15.8827</v>
      </c>
      <c r="P12" s="22">
        <v>25.7255</v>
      </c>
      <c r="Q12" s="22">
        <v>0</v>
      </c>
      <c r="R12" s="22">
        <v>15.8827</v>
      </c>
      <c r="S12" s="22">
        <v>0</v>
      </c>
      <c r="T12" s="22">
        <v>0</v>
      </c>
      <c r="U12" s="22">
        <v>0</v>
      </c>
      <c r="V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</row>
    <row r="13" spans="1:30" ht="10.5">
      <c r="A13" s="22" t="str">
        <f>'Форма 4'!A99</f>
        <v>8.</v>
      </c>
      <c r="B13" s="22">
        <f t="shared" si="0"/>
        <v>150.9</v>
      </c>
      <c r="C13" s="22">
        <f>'Форма 4'!D100</f>
        <v>64.32</v>
      </c>
      <c r="D13" s="22">
        <f>'Форма 4'!E99</f>
        <v>6.2</v>
      </c>
      <c r="E13" s="22">
        <f>'Форма 4'!E100</f>
        <v>0</v>
      </c>
      <c r="F13" s="22">
        <v>80.38</v>
      </c>
      <c r="G13" s="22">
        <v>0</v>
      </c>
      <c r="H13" s="22">
        <v>0</v>
      </c>
      <c r="I13" s="23">
        <f>'Форма 4'!I99</f>
        <v>5.129</v>
      </c>
      <c r="J13" s="23">
        <v>0</v>
      </c>
      <c r="K13" s="23">
        <f>'Форма 4'!I100</f>
        <v>0</v>
      </c>
      <c r="L13" s="22">
        <v>0</v>
      </c>
      <c r="M13" s="22">
        <v>0</v>
      </c>
      <c r="N13" s="22">
        <v>73.968</v>
      </c>
      <c r="O13" s="22">
        <v>45.6672</v>
      </c>
      <c r="P13" s="22">
        <v>73.968</v>
      </c>
      <c r="Q13" s="22">
        <v>0</v>
      </c>
      <c r="R13" s="22">
        <v>45.6672</v>
      </c>
      <c r="S13" s="22">
        <v>0</v>
      </c>
      <c r="T13" s="22">
        <v>0</v>
      </c>
      <c r="U13" s="22">
        <v>0</v>
      </c>
      <c r="V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</row>
    <row r="14" spans="1:30" ht="10.5">
      <c r="A14" s="22" t="str">
        <f>'Форма 4'!A109</f>
        <v>9.</v>
      </c>
      <c r="B14" s="22">
        <f t="shared" si="0"/>
        <v>21.1</v>
      </c>
      <c r="C14" s="22">
        <f>'Форма 4'!D110</f>
        <v>0</v>
      </c>
      <c r="D14" s="22">
        <f>'Форма 4'!E109</f>
        <v>0</v>
      </c>
      <c r="E14" s="22">
        <f>'Форма 4'!E110</f>
        <v>0</v>
      </c>
      <c r="F14" s="22">
        <v>21.1</v>
      </c>
      <c r="G14" s="22">
        <v>20.3</v>
      </c>
      <c r="H14" s="22">
        <v>0</v>
      </c>
      <c r="I14" s="23">
        <f>'Форма 4'!I109</f>
        <v>0</v>
      </c>
      <c r="J14" s="23">
        <v>0</v>
      </c>
      <c r="K14" s="23">
        <f>'Форма 4'!I110</f>
        <v>0</v>
      </c>
      <c r="L14" s="22">
        <v>7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</row>
    <row r="15" spans="1:30" ht="10.5">
      <c r="A15" s="22" t="str">
        <f>'Форма 4'!A118</f>
        <v>10.</v>
      </c>
      <c r="B15" s="22">
        <f t="shared" si="0"/>
        <v>28882.78</v>
      </c>
      <c r="C15" s="22">
        <f>'Форма 4'!D119</f>
        <v>3535.84</v>
      </c>
      <c r="D15" s="22">
        <f>'Форма 4'!E118</f>
        <v>154.14</v>
      </c>
      <c r="E15" s="22">
        <f>'Форма 4'!E119</f>
        <v>0</v>
      </c>
      <c r="F15" s="22">
        <v>25192.8</v>
      </c>
      <c r="G15" s="22">
        <v>0</v>
      </c>
      <c r="H15" s="22">
        <v>0</v>
      </c>
      <c r="I15" s="23">
        <f>'Форма 4'!I118</f>
        <v>308</v>
      </c>
      <c r="J15" s="23">
        <v>0</v>
      </c>
      <c r="K15" s="23">
        <f>'Форма 4'!I119</f>
        <v>0</v>
      </c>
      <c r="L15" s="22">
        <v>0</v>
      </c>
      <c r="M15" s="22">
        <v>0</v>
      </c>
      <c r="N15" s="22">
        <v>3641.9152</v>
      </c>
      <c r="O15" s="22">
        <v>2121.504</v>
      </c>
      <c r="P15" s="22">
        <v>3641.9152</v>
      </c>
      <c r="Q15" s="22">
        <v>0</v>
      </c>
      <c r="R15" s="22">
        <v>2121.504</v>
      </c>
      <c r="S15" s="22">
        <v>0</v>
      </c>
      <c r="T15" s="22">
        <v>0</v>
      </c>
      <c r="U15" s="22">
        <v>0</v>
      </c>
      <c r="V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</row>
    <row r="16" spans="1:30" ht="10.5">
      <c r="A16" s="22" t="str">
        <f>'Форма 4'!A127</f>
        <v>11.</v>
      </c>
      <c r="B16" s="22">
        <f t="shared" si="0"/>
        <v>25004.85</v>
      </c>
      <c r="C16" s="22">
        <f>'Форма 4'!D128</f>
        <v>2682.27</v>
      </c>
      <c r="D16" s="22">
        <f>'Форма 4'!E127</f>
        <v>331.53</v>
      </c>
      <c r="E16" s="22">
        <f>'Форма 4'!E128</f>
        <v>7.22</v>
      </c>
      <c r="F16" s="22">
        <v>21991.05</v>
      </c>
      <c r="G16" s="22">
        <v>0</v>
      </c>
      <c r="H16" s="22">
        <v>0</v>
      </c>
      <c r="I16" s="23">
        <f>'Форма 4'!I127</f>
        <v>220.4</v>
      </c>
      <c r="J16" s="23">
        <v>0</v>
      </c>
      <c r="K16" s="23">
        <f>'Форма 4'!I128</f>
        <v>0.67</v>
      </c>
      <c r="L16" s="22">
        <v>0</v>
      </c>
      <c r="M16" s="22">
        <v>0</v>
      </c>
      <c r="N16" s="22">
        <v>2770.1747</v>
      </c>
      <c r="O16" s="22">
        <v>1613.694</v>
      </c>
      <c r="P16" s="22">
        <v>2762.7381</v>
      </c>
      <c r="Q16" s="22">
        <v>7.4366</v>
      </c>
      <c r="R16" s="22">
        <v>1609.362</v>
      </c>
      <c r="S16" s="22">
        <v>4.332</v>
      </c>
      <c r="T16" s="22">
        <v>0</v>
      </c>
      <c r="U16" s="22">
        <v>0</v>
      </c>
      <c r="V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</row>
    <row r="17" spans="1:30" ht="10.5">
      <c r="A17" s="22" t="str">
        <f>'Форма 4'!A136</f>
        <v>12.</v>
      </c>
      <c r="B17" s="22">
        <f t="shared" si="0"/>
        <v>83</v>
      </c>
      <c r="C17" s="22">
        <f>'Форма 4'!D137</f>
        <v>0</v>
      </c>
      <c r="D17" s="22">
        <f>'Форма 4'!E136</f>
        <v>0</v>
      </c>
      <c r="E17" s="22">
        <f>'Форма 4'!E137</f>
        <v>0</v>
      </c>
      <c r="F17" s="22">
        <v>83</v>
      </c>
      <c r="G17" s="22">
        <v>79.9</v>
      </c>
      <c r="H17" s="22">
        <v>0</v>
      </c>
      <c r="I17" s="23">
        <f>'Форма 4'!I136</f>
        <v>0</v>
      </c>
      <c r="J17" s="23">
        <v>0</v>
      </c>
      <c r="K17" s="23">
        <f>'Форма 4'!I137</f>
        <v>0</v>
      </c>
      <c r="L17" s="22">
        <v>7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D17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3" customWidth="1"/>
    <col min="2" max="16384" width="9.140625" style="22" customWidth="1"/>
  </cols>
  <sheetData>
    <row r="1" spans="1:30" s="24" customFormat="1" ht="10.5">
      <c r="A1" s="7"/>
      <c r="B1" s="24" t="s">
        <v>133</v>
      </c>
      <c r="C1" s="24" t="s">
        <v>134</v>
      </c>
      <c r="D1" s="24" t="s">
        <v>135</v>
      </c>
      <c r="E1" s="24" t="s">
        <v>136</v>
      </c>
      <c r="F1" s="24" t="s">
        <v>137</v>
      </c>
      <c r="G1" s="24" t="s">
        <v>138</v>
      </c>
      <c r="H1" s="24" t="s">
        <v>139</v>
      </c>
      <c r="I1" s="24" t="s">
        <v>140</v>
      </c>
      <c r="J1" s="24" t="s">
        <v>141</v>
      </c>
      <c r="K1" s="24" t="s">
        <v>142</v>
      </c>
      <c r="L1" s="24" t="s">
        <v>143</v>
      </c>
      <c r="M1" s="24" t="s">
        <v>144</v>
      </c>
      <c r="N1" s="24" t="s">
        <v>145</v>
      </c>
      <c r="O1" s="24" t="s">
        <v>146</v>
      </c>
      <c r="P1" s="24" t="s">
        <v>147</v>
      </c>
      <c r="Q1" s="24" t="s">
        <v>148</v>
      </c>
      <c r="R1" s="24" t="s">
        <v>149</v>
      </c>
      <c r="S1" s="24" t="s">
        <v>150</v>
      </c>
      <c r="T1" s="24" t="s">
        <v>151</v>
      </c>
      <c r="U1" s="24" t="s">
        <v>152</v>
      </c>
      <c r="V1" s="24" t="s">
        <v>153</v>
      </c>
      <c r="X1" s="24" t="s">
        <v>154</v>
      </c>
      <c r="Y1" s="24" t="s">
        <v>155</v>
      </c>
      <c r="Z1" s="24" t="s">
        <v>156</v>
      </c>
      <c r="AA1" s="24" t="s">
        <v>157</v>
      </c>
      <c r="AB1" s="24" t="s">
        <v>158</v>
      </c>
      <c r="AC1" s="24" t="s">
        <v>159</v>
      </c>
      <c r="AD1" s="24" t="s">
        <v>160</v>
      </c>
    </row>
    <row r="2" spans="1:10" ht="10.5">
      <c r="A2" s="56"/>
      <c r="B2" s="57"/>
      <c r="C2" s="57"/>
      <c r="D2" s="57"/>
      <c r="E2" s="57"/>
      <c r="F2" s="57"/>
      <c r="G2" s="57"/>
      <c r="H2" s="57"/>
      <c r="I2" s="57"/>
      <c r="J2" s="57"/>
    </row>
    <row r="3" spans="1:10" ht="10.5">
      <c r="A3" s="25"/>
      <c r="B3" s="58" t="s">
        <v>161</v>
      </c>
      <c r="C3" s="58"/>
      <c r="D3" s="58"/>
      <c r="E3" s="58"/>
      <c r="F3" s="58"/>
      <c r="G3" s="58"/>
      <c r="H3" s="58"/>
      <c r="I3" s="58"/>
      <c r="J3" s="58"/>
    </row>
    <row r="4" spans="1:10" ht="10.5">
      <c r="A4" s="25"/>
      <c r="B4" s="58" t="s">
        <v>162</v>
      </c>
      <c r="C4" s="58"/>
      <c r="D4" s="58"/>
      <c r="E4" s="58"/>
      <c r="F4" s="58"/>
      <c r="G4" s="58"/>
      <c r="H4" s="58"/>
      <c r="I4" s="58"/>
      <c r="J4" s="58"/>
    </row>
    <row r="5" spans="1:10" ht="10.5">
      <c r="A5" s="56"/>
      <c r="B5" s="57"/>
      <c r="C5" s="57"/>
      <c r="D5" s="57"/>
      <c r="E5" s="57"/>
      <c r="F5" s="57"/>
      <c r="G5" s="57"/>
      <c r="H5" s="57"/>
      <c r="I5" s="57"/>
      <c r="J5" s="57"/>
    </row>
    <row r="6" spans="1:30" ht="10.5">
      <c r="A6" s="22" t="str">
        <f>'Форма 4'!A26</f>
        <v>1.</v>
      </c>
      <c r="B6" s="22">
        <f aca="true" t="shared" si="0" ref="B6:B17">ROUND(C6+D6+F6,2)</f>
        <v>2.33</v>
      </c>
      <c r="C6" s="22">
        <f>ROUND('Форма 4'!C26*'Базовые цены за единицу'!C6,2)</f>
        <v>1.95</v>
      </c>
      <c r="D6" s="22">
        <f>ROUND('Форма 4'!C26*'Базовые цены за единицу'!D6,2)</f>
        <v>0.38</v>
      </c>
      <c r="E6" s="22">
        <f>ROUND('Форма 4'!C26*'Базовые цены за единицу'!E6,2)</f>
        <v>0</v>
      </c>
      <c r="F6" s="22">
        <f>ROUND('Форма 4'!C26*'Базовые цены за единицу'!F6,2)</f>
        <v>0</v>
      </c>
      <c r="G6" s="22">
        <f>ROUND('Форма 4'!C26*'Базовые цены за единицу'!G6,2)</f>
        <v>0</v>
      </c>
      <c r="H6" s="22">
        <f>ROUND('Форма 4'!C26*'Базовые цены за единицу'!H6,2)</f>
        <v>0</v>
      </c>
      <c r="I6" s="23" t="e">
        <f>ОКРУГЛВСЕ('Форма 4'!C26*'Базовые цены за единицу'!I6,8)</f>
        <v>#NAME?</v>
      </c>
      <c r="J6" s="23" t="e">
        <f>ОКРУГЛВСЕ('Форма 4'!C26*'Базовые цены за единицу'!J6,8)</f>
        <v>#NAME?</v>
      </c>
      <c r="K6" s="23" t="e">
        <f>ОКРУГЛВСЕ('Форма 4'!C26*'Базовые цены за единицу'!K6,8)</f>
        <v>#NAME?</v>
      </c>
      <c r="L6" s="22">
        <f>ROUND('Форма 4'!C26*'Базовые цены за единицу'!L6,2)</f>
        <v>0</v>
      </c>
      <c r="M6" s="22">
        <f>ROUND('Форма 4'!C26*'Базовые цены за единицу'!M6,2)</f>
        <v>0</v>
      </c>
      <c r="N6" s="22">
        <f>ROUND((C6+E6)*'Форма 4'!C29/100,2)</f>
        <v>2.24</v>
      </c>
      <c r="O6" s="22">
        <f>ROUND((C6+E6)*'Форма 4'!C32/100,2)</f>
        <v>1.38</v>
      </c>
      <c r="P6" s="22">
        <f>ROUND('Форма 4'!C26*'Базовые цены за единицу'!P6,2)</f>
        <v>2.24</v>
      </c>
      <c r="Q6" s="22">
        <f>ROUND('Форма 4'!C26*'Базовые цены за единицу'!Q6,2)</f>
        <v>0</v>
      </c>
      <c r="R6" s="22">
        <f>ROUND('Форма 4'!C26*'Базовые цены за единицу'!R6,2)</f>
        <v>1.38</v>
      </c>
      <c r="S6" s="22">
        <f>ROUND('Форма 4'!C26*'Базовые цены за единицу'!S6,2)</f>
        <v>0</v>
      </c>
      <c r="T6" s="22">
        <f>ROUND('Форма 4'!C26*'Базовые цены за единицу'!T6,2)</f>
        <v>0</v>
      </c>
      <c r="U6" s="22">
        <f>ROUND('Форма 4'!C26*'Базовые цены за единицу'!U6,2)</f>
        <v>0</v>
      </c>
      <c r="V6" s="22">
        <f>ROUND('Форма 4'!C26*'Базовые цены за единицу'!V6,2)</f>
        <v>0</v>
      </c>
      <c r="X6" s="22">
        <f>ROUND('Форма 4'!C26*'Базовые цены за единицу'!X6,2)</f>
        <v>0</v>
      </c>
      <c r="Y6" s="22">
        <f>IF(Определители!I6="9",ROUND((C6+E6)*(Начисления!M6/100)*('Форма 4'!C29/100),2),0)</f>
        <v>0</v>
      </c>
      <c r="Z6" s="22">
        <f>IF(Определители!I6="9",ROUND((C6+E6)*(100-Начисления!M6/100)*('Форма 4'!C29/100),2),0)</f>
        <v>0</v>
      </c>
      <c r="AA6" s="22">
        <f>IF(Определители!I6="9",ROUND((C6+E6)*(Начисления!M6/100)*('Форма 4'!C32/100),2),0)</f>
        <v>0</v>
      </c>
      <c r="AB6" s="22">
        <f>IF(Определители!I6="9",ROUND((C6+E6)*(100-Начисления!M6/100)*('Форма 4'!C32/100),2),0)</f>
        <v>0</v>
      </c>
      <c r="AC6" s="22">
        <f>IF(Определители!I6="9",ROUND(B6*Начисления!M6/100,2),0)</f>
        <v>0</v>
      </c>
      <c r="AD6" s="22">
        <f>IF(Определители!I6="9",ROUND(B6*(100-Начисления!M6)/100,2),0)</f>
        <v>0</v>
      </c>
    </row>
    <row r="7" spans="1:30" ht="10.5">
      <c r="A7" s="22" t="str">
        <f>'Форма 4'!A36</f>
        <v>2.</v>
      </c>
      <c r="B7" s="22">
        <f t="shared" si="0"/>
        <v>7.9</v>
      </c>
      <c r="C7" s="22">
        <f>ROUND('Форма 4'!C36*'Базовые цены за единицу'!C7,2)</f>
        <v>5.61</v>
      </c>
      <c r="D7" s="22">
        <f>ROUND('Форма 4'!C36*'Базовые цены за единицу'!D7,2)</f>
        <v>1.2</v>
      </c>
      <c r="E7" s="22">
        <f>ROUND('Форма 4'!C36*'Базовые цены за единицу'!E7,2)</f>
        <v>0</v>
      </c>
      <c r="F7" s="22">
        <f>ROUND('Форма 4'!C36*'Базовые цены за единицу'!F7,2)</f>
        <v>1.09</v>
      </c>
      <c r="G7" s="22">
        <f>ROUND('Форма 4'!C36*'Базовые цены за единицу'!G7,2)</f>
        <v>0</v>
      </c>
      <c r="H7" s="22">
        <f>ROUND('Форма 4'!C36*'Базовые цены за единицу'!H7,2)</f>
        <v>0</v>
      </c>
      <c r="I7" s="23" t="e">
        <f>ОКРУГЛВСЕ('Форма 4'!C36*'Базовые цены за единицу'!I7,8)</f>
        <v>#NAME?</v>
      </c>
      <c r="J7" s="23" t="e">
        <f>ОКРУГЛВСЕ('Форма 4'!C36*'Базовые цены за единицу'!J7,8)</f>
        <v>#NAME?</v>
      </c>
      <c r="K7" s="23" t="e">
        <f>ОКРУГЛВСЕ('Форма 4'!C36*'Базовые цены за единицу'!K7,8)</f>
        <v>#NAME?</v>
      </c>
      <c r="L7" s="22">
        <f>ROUND('Форма 4'!C36*'Базовые цены за единицу'!L7,2)</f>
        <v>0</v>
      </c>
      <c r="M7" s="22">
        <f>ROUND('Форма 4'!C36*'Базовые цены за единицу'!M7,2)</f>
        <v>0</v>
      </c>
      <c r="N7" s="22">
        <f>ROUND((C7+E7)*'Форма 4'!C39/100,2)</f>
        <v>6.45</v>
      </c>
      <c r="O7" s="22">
        <f>ROUND((C7+E7)*'Форма 4'!C42/100,2)</f>
        <v>3.98</v>
      </c>
      <c r="P7" s="22">
        <f>ROUND('Форма 4'!C36*'Базовые цены за единицу'!P7,2)</f>
        <v>6.45</v>
      </c>
      <c r="Q7" s="22">
        <f>ROUND('Форма 4'!C36*'Базовые цены за единицу'!Q7,2)</f>
        <v>0</v>
      </c>
      <c r="R7" s="22">
        <f>ROUND('Форма 4'!C36*'Базовые цены за единицу'!R7,2)</f>
        <v>3.98</v>
      </c>
      <c r="S7" s="22">
        <f>ROUND('Форма 4'!C36*'Базовые цены за единицу'!S7,2)</f>
        <v>0</v>
      </c>
      <c r="T7" s="22">
        <f>ROUND('Форма 4'!C36*'Базовые цены за единицу'!T7,2)</f>
        <v>0</v>
      </c>
      <c r="U7" s="22">
        <f>ROUND('Форма 4'!C36*'Базовые цены за единицу'!U7,2)</f>
        <v>0</v>
      </c>
      <c r="V7" s="22">
        <f>ROUND('Форма 4'!C36*'Базовые цены за единицу'!V7,2)</f>
        <v>0</v>
      </c>
      <c r="X7" s="22">
        <f>ROUND('Форма 4'!C36*'Базовые цены за единицу'!X7,2)</f>
        <v>0</v>
      </c>
      <c r="Y7" s="22">
        <f>IF(Определители!I7="9",ROUND((C7+E7)*(Начисления!M7/100)*('Форма 4'!C39/100),2),0)</f>
        <v>0</v>
      </c>
      <c r="Z7" s="22">
        <f>IF(Определители!I7="9",ROUND((C7+E7)*(100-Начисления!M7/100)*('Форма 4'!C39/100),2),0)</f>
        <v>0</v>
      </c>
      <c r="AA7" s="22">
        <f>IF(Определители!I7="9",ROUND((C7+E7)*(Начисления!M7/100)*('Форма 4'!C42/100),2),0)</f>
        <v>0</v>
      </c>
      <c r="AB7" s="22">
        <f>IF(Определители!I7="9",ROUND((C7+E7)*(100-Начисления!M7/100)*('Форма 4'!C42/100),2),0)</f>
        <v>0</v>
      </c>
      <c r="AC7" s="22">
        <f>IF(Определители!I7="9",ROUND(B7*Начисления!M7/100,2),0)</f>
        <v>0</v>
      </c>
      <c r="AD7" s="22">
        <f>IF(Определители!I7="9",ROUND(B7*(100-Начисления!M7)/100,2),0)</f>
        <v>0</v>
      </c>
    </row>
    <row r="8" spans="1:30" ht="10.5">
      <c r="A8" s="22" t="str">
        <f>'Форма 4'!A46</f>
        <v>3.</v>
      </c>
      <c r="B8" s="22">
        <f t="shared" si="0"/>
        <v>152.96</v>
      </c>
      <c r="C8" s="22">
        <f>ROUND('Форма 4'!C46*'Базовые цены за единицу'!C8,2)</f>
        <v>0</v>
      </c>
      <c r="D8" s="22">
        <f>ROUND('Форма 4'!C46*'Базовые цены за единицу'!D8,2)</f>
        <v>0</v>
      </c>
      <c r="E8" s="22">
        <f>ROUND('Форма 4'!C46*'Базовые цены за единицу'!E8,2)</f>
        <v>0</v>
      </c>
      <c r="F8" s="22">
        <f>ROUND('Форма 4'!C46*'Базовые цены за единицу'!F8,2)</f>
        <v>152.96</v>
      </c>
      <c r="G8" s="22">
        <f>ROUND('Форма 4'!C46*'Базовые цены за единицу'!G8,2)</f>
        <v>0</v>
      </c>
      <c r="H8" s="22">
        <f>ROUND('Форма 4'!C46*'Базовые цены за единицу'!H8,2)</f>
        <v>0</v>
      </c>
      <c r="I8" s="23" t="e">
        <f>ОКРУГЛВСЕ('Форма 4'!C46*'Базовые цены за единицу'!I8,8)</f>
        <v>#NAME?</v>
      </c>
      <c r="J8" s="23" t="e">
        <f>ОКРУГЛВСЕ('Форма 4'!C46*'Базовые цены за единицу'!J8,8)</f>
        <v>#NAME?</v>
      </c>
      <c r="K8" s="23" t="e">
        <f>ОКРУГЛВСЕ('Форма 4'!C46*'Базовые цены за единицу'!K8,8)</f>
        <v>#NAME?</v>
      </c>
      <c r="L8" s="22">
        <f>ROUND('Форма 4'!C46*'Базовые цены за единицу'!L8,2)</f>
        <v>0</v>
      </c>
      <c r="M8" s="22">
        <f>ROUND('Форма 4'!C46*'Базовые цены за единицу'!M8,2)</f>
        <v>0</v>
      </c>
      <c r="N8" s="22">
        <f>ROUND((C8+E8)*'Форма 4'!C49/100,2)</f>
        <v>0</v>
      </c>
      <c r="O8" s="22">
        <f>ROUND((C8+E8)*'Форма 4'!C52/100,2)</f>
        <v>0</v>
      </c>
      <c r="P8" s="22">
        <f>ROUND('Форма 4'!C46*'Базовые цены за единицу'!P8,2)</f>
        <v>0</v>
      </c>
      <c r="Q8" s="22">
        <f>ROUND('Форма 4'!C46*'Базовые цены за единицу'!Q8,2)</f>
        <v>0</v>
      </c>
      <c r="R8" s="22">
        <f>ROUND('Форма 4'!C46*'Базовые цены за единицу'!R8,2)</f>
        <v>0</v>
      </c>
      <c r="S8" s="22">
        <f>ROUND('Форма 4'!C46*'Базовые цены за единицу'!S8,2)</f>
        <v>0</v>
      </c>
      <c r="T8" s="22">
        <f>ROUND('Форма 4'!C46*'Базовые цены за единицу'!T8,2)</f>
        <v>0</v>
      </c>
      <c r="U8" s="22">
        <f>ROUND('Форма 4'!C46*'Базовые цены за единицу'!U8,2)</f>
        <v>0</v>
      </c>
      <c r="V8" s="22">
        <f>ROUND('Форма 4'!C46*'Базовые цены за единицу'!V8,2)</f>
        <v>0</v>
      </c>
      <c r="X8" s="22">
        <f>ROUND('Форма 4'!C46*'Базовые цены за единицу'!X8,2)</f>
        <v>0</v>
      </c>
      <c r="Y8" s="22">
        <f>IF(Определители!I8="9",ROUND((C8+E8)*(Начисления!M8/100)*('Форма 4'!C49/100),2),0)</f>
        <v>0</v>
      </c>
      <c r="Z8" s="22">
        <f>IF(Определители!I8="9",ROUND((C8+E8)*(100-Начисления!M8/100)*('Форма 4'!C49/100),2),0)</f>
        <v>0</v>
      </c>
      <c r="AA8" s="22">
        <f>IF(Определители!I8="9",ROUND((C8+E8)*(Начисления!M8/100)*('Форма 4'!C52/100),2),0)</f>
        <v>0</v>
      </c>
      <c r="AB8" s="22">
        <f>IF(Определители!I8="9",ROUND((C8+E8)*(100-Начисления!M8/100)*('Форма 4'!C52/100),2),0)</f>
        <v>0</v>
      </c>
      <c r="AC8" s="22">
        <f>IF(Определители!I8="9",ROUND(B8*Начисления!M8/100,2),0)</f>
        <v>0</v>
      </c>
      <c r="AD8" s="22">
        <f>IF(Определители!I8="9",ROUND(B8*(100-Начисления!M8)/100,2),0)</f>
        <v>0</v>
      </c>
    </row>
    <row r="9" spans="1:30" ht="10.5">
      <c r="A9" s="22" t="str">
        <f>'Форма 4'!A56</f>
        <v>4.</v>
      </c>
      <c r="B9" s="22">
        <f t="shared" si="0"/>
        <v>6.16</v>
      </c>
      <c r="C9" s="22">
        <f>ROUND('Форма 4'!C56*'Базовые цены за единицу'!C9,2)</f>
        <v>3.89</v>
      </c>
      <c r="D9" s="22">
        <f>ROUND('Форма 4'!C56*'Базовые цены за единицу'!D9,2)</f>
        <v>2.27</v>
      </c>
      <c r="E9" s="22">
        <f>ROUND('Форма 4'!C56*'Базовые цены за единицу'!E9,2)</f>
        <v>0.01</v>
      </c>
      <c r="F9" s="22">
        <f>ROUND('Форма 4'!C56*'Базовые цены за единицу'!F9,2)</f>
        <v>0</v>
      </c>
      <c r="G9" s="22">
        <f>ROUND('Форма 4'!C56*'Базовые цены за единицу'!G9,2)</f>
        <v>0</v>
      </c>
      <c r="H9" s="22">
        <f>ROUND('Форма 4'!C56*'Базовые цены за единицу'!H9,2)</f>
        <v>0</v>
      </c>
      <c r="I9" s="23" t="e">
        <f>ОКРУГЛВСЕ('Форма 4'!C56*'Базовые цены за единицу'!I9,8)</f>
        <v>#NAME?</v>
      </c>
      <c r="J9" s="23" t="e">
        <f>ОКРУГЛВСЕ('Форма 4'!C56*'Базовые цены за единицу'!J9,8)</f>
        <v>#NAME?</v>
      </c>
      <c r="K9" s="23" t="e">
        <f>ОКРУГЛВСЕ('Форма 4'!C56*'Базовые цены за единицу'!K9,8)</f>
        <v>#NAME?</v>
      </c>
      <c r="L9" s="22">
        <f>ROUND('Форма 4'!C56*'Базовые цены за единицу'!L9,2)</f>
        <v>0</v>
      </c>
      <c r="M9" s="22">
        <f>ROUND('Форма 4'!C56*'Базовые цены за единицу'!M9,2)</f>
        <v>0</v>
      </c>
      <c r="N9" s="22">
        <f>ROUND((C9+E9)*'Форма 4'!C60/100,2)</f>
        <v>4.49</v>
      </c>
      <c r="O9" s="22">
        <f>ROUND((C9+E9)*'Форма 4'!C63/100,2)</f>
        <v>2.77</v>
      </c>
      <c r="P9" s="22">
        <f>ROUND('Форма 4'!C56*'Базовые цены за единицу'!P9,2)</f>
        <v>4.47</v>
      </c>
      <c r="Q9" s="22">
        <f>ROUND('Форма 4'!C56*'Базовые цены за единицу'!Q9,2)</f>
        <v>0.01</v>
      </c>
      <c r="R9" s="22">
        <f>ROUND('Форма 4'!C56*'Базовые цены за единицу'!R9,2)</f>
        <v>2.76</v>
      </c>
      <c r="S9" s="22">
        <f>ROUND('Форма 4'!C56*'Базовые цены за единицу'!S9,2)</f>
        <v>0.01</v>
      </c>
      <c r="T9" s="22">
        <f>ROUND('Форма 4'!C56*'Базовые цены за единицу'!T9,2)</f>
        <v>0</v>
      </c>
      <c r="U9" s="22">
        <f>ROUND('Форма 4'!C56*'Базовые цены за единицу'!U9,2)</f>
        <v>0</v>
      </c>
      <c r="V9" s="22">
        <f>ROUND('Форма 4'!C56*'Базовые цены за единицу'!V9,2)</f>
        <v>0</v>
      </c>
      <c r="X9" s="22">
        <f>ROUND('Форма 4'!C56*'Базовые цены за единицу'!X9,2)</f>
        <v>0</v>
      </c>
      <c r="Y9" s="22">
        <f>IF(Определители!I9="9",ROUND((C9+E9)*(Начисления!M9/100)*('Форма 4'!C60/100),2),0)</f>
        <v>0</v>
      </c>
      <c r="Z9" s="22">
        <f>IF(Определители!I9="9",ROUND((C9+E9)*(100-Начисления!M9/100)*('Форма 4'!C60/100),2),0)</f>
        <v>0</v>
      </c>
      <c r="AA9" s="22">
        <f>IF(Определители!I9="9",ROUND((C9+E9)*(Начисления!M9/100)*('Форма 4'!C63/100),2),0)</f>
        <v>0</v>
      </c>
      <c r="AB9" s="22">
        <f>IF(Определители!I9="9",ROUND((C9+E9)*(100-Начисления!M9/100)*('Форма 4'!C63/100),2),0)</f>
        <v>0</v>
      </c>
      <c r="AC9" s="22">
        <f>IF(Определители!I9="9",ROUND(B9*Начисления!M9/100,2),0)</f>
        <v>0</v>
      </c>
      <c r="AD9" s="22">
        <f>IF(Определители!I9="9",ROUND(B9*(100-Начисления!M9)/100,2),0)</f>
        <v>0</v>
      </c>
    </row>
    <row r="10" spans="1:30" ht="10.5">
      <c r="A10" s="22" t="str">
        <f>'Форма 4'!A67</f>
        <v>5.</v>
      </c>
      <c r="B10" s="22">
        <f t="shared" si="0"/>
        <v>19.04</v>
      </c>
      <c r="C10" s="22">
        <f>ROUND('Форма 4'!C67*'Базовые цены за единицу'!C10,2)</f>
        <v>11.19</v>
      </c>
      <c r="D10" s="22">
        <f>ROUND('Форма 4'!C67*'Базовые цены за единицу'!D10,2)</f>
        <v>7.1</v>
      </c>
      <c r="E10" s="22">
        <f>ROUND('Форма 4'!C67*'Базовые цены за единицу'!E10,2)</f>
        <v>0.03</v>
      </c>
      <c r="F10" s="22">
        <f>ROUND('Форма 4'!C67*'Базовые цены за единицу'!F10,2)</f>
        <v>0.75</v>
      </c>
      <c r="G10" s="22">
        <f>ROUND('Форма 4'!C67*'Базовые цены за единицу'!G10,2)</f>
        <v>0</v>
      </c>
      <c r="H10" s="22">
        <f>ROUND('Форма 4'!C67*'Базовые цены за единицу'!H10,2)</f>
        <v>0</v>
      </c>
      <c r="I10" s="23" t="e">
        <f>ОКРУГЛВСЕ('Форма 4'!C67*'Базовые цены за единицу'!I10,8)</f>
        <v>#NAME?</v>
      </c>
      <c r="J10" s="23" t="e">
        <f>ОКРУГЛВСЕ('Форма 4'!C67*'Базовые цены за единицу'!J10,8)</f>
        <v>#NAME?</v>
      </c>
      <c r="K10" s="23" t="e">
        <f>ОКРУГЛВСЕ('Форма 4'!C67*'Базовые цены за единицу'!K10,8)</f>
        <v>#NAME?</v>
      </c>
      <c r="L10" s="22">
        <f>ROUND('Форма 4'!C67*'Базовые цены за единицу'!L10,2)</f>
        <v>0</v>
      </c>
      <c r="M10" s="22">
        <f>ROUND('Форма 4'!C67*'Базовые цены за единицу'!M10,2)</f>
        <v>0</v>
      </c>
      <c r="N10" s="22">
        <f>ROUND((C10+E10)*'Форма 4'!C71/100,2)</f>
        <v>12.9</v>
      </c>
      <c r="O10" s="22">
        <f>ROUND((C10+E10)*'Форма 4'!C74/100,2)</f>
        <v>7.97</v>
      </c>
      <c r="P10" s="22">
        <f>ROUND('Форма 4'!C67*'Базовые цены за единицу'!P10,2)</f>
        <v>12.87</v>
      </c>
      <c r="Q10" s="22">
        <f>ROUND('Форма 4'!C67*'Базовые цены за единицу'!Q10,2)</f>
        <v>0.03</v>
      </c>
      <c r="R10" s="22">
        <f>ROUND('Форма 4'!C67*'Базовые цены за единицу'!R10,2)</f>
        <v>7.94</v>
      </c>
      <c r="S10" s="22">
        <f>ROUND('Форма 4'!C67*'Базовые цены за единицу'!S10,2)</f>
        <v>0.02</v>
      </c>
      <c r="T10" s="22">
        <f>ROUND('Форма 4'!C67*'Базовые цены за единицу'!T10,2)</f>
        <v>0</v>
      </c>
      <c r="U10" s="22">
        <f>ROUND('Форма 4'!C67*'Базовые цены за единицу'!U10,2)</f>
        <v>0</v>
      </c>
      <c r="V10" s="22">
        <f>ROUND('Форма 4'!C67*'Базовые цены за единицу'!V10,2)</f>
        <v>0</v>
      </c>
      <c r="X10" s="22">
        <f>ROUND('Форма 4'!C67*'Базовые цены за единицу'!X10,2)</f>
        <v>0</v>
      </c>
      <c r="Y10" s="22">
        <f>IF(Определители!I10="9",ROUND((C10+E10)*(Начисления!M10/100)*('Форма 4'!C71/100),2),0)</f>
        <v>0</v>
      </c>
      <c r="Z10" s="22">
        <f>IF(Определители!I10="9",ROUND((C10+E10)*(100-Начисления!M10/100)*('Форма 4'!C71/100),2),0)</f>
        <v>0</v>
      </c>
      <c r="AA10" s="22">
        <f>IF(Определители!I10="9",ROUND((C10+E10)*(Начисления!M10/100)*('Форма 4'!C74/100),2),0)</f>
        <v>0</v>
      </c>
      <c r="AB10" s="22">
        <f>IF(Определители!I10="9",ROUND((C10+E10)*(100-Начисления!M10/100)*('Форма 4'!C74/100),2),0)</f>
        <v>0</v>
      </c>
      <c r="AC10" s="22">
        <f>IF(Определители!I10="9",ROUND(B10*Начисления!M10/100,2),0)</f>
        <v>0</v>
      </c>
      <c r="AD10" s="22">
        <f>IF(Определители!I10="9",ROUND(B10*(100-Начисления!M10)/100,2),0)</f>
        <v>0</v>
      </c>
    </row>
    <row r="11" spans="1:30" ht="10.5">
      <c r="A11" s="22" t="str">
        <f>'Форма 4'!A78</f>
        <v>6.</v>
      </c>
      <c r="B11" s="22">
        <f t="shared" si="0"/>
        <v>39.47</v>
      </c>
      <c r="C11" s="22">
        <f>ROUND('Форма 4'!C78*'Базовые цены за единицу'!C11,2)</f>
        <v>0</v>
      </c>
      <c r="D11" s="22">
        <f>ROUND('Форма 4'!C78*'Базовые цены за единицу'!D11,2)</f>
        <v>0</v>
      </c>
      <c r="E11" s="22">
        <f>ROUND('Форма 4'!C78*'Базовые цены за единицу'!E11,2)</f>
        <v>0</v>
      </c>
      <c r="F11" s="22">
        <f>ROUND('Форма 4'!C78*'Базовые цены за единицу'!F11,2)</f>
        <v>39.47</v>
      </c>
      <c r="G11" s="22">
        <f>ROUND('Форма 4'!C78*'Базовые цены за единицу'!G11,2)</f>
        <v>0</v>
      </c>
      <c r="H11" s="22">
        <f>ROUND('Форма 4'!C78*'Базовые цены за единицу'!H11,2)</f>
        <v>0</v>
      </c>
      <c r="I11" s="23" t="e">
        <f>ОКРУГЛВСЕ('Форма 4'!C78*'Базовые цены за единицу'!I11,8)</f>
        <v>#NAME?</v>
      </c>
      <c r="J11" s="23" t="e">
        <f>ОКРУГЛВСЕ('Форма 4'!C78*'Базовые цены за единицу'!J11,8)</f>
        <v>#NAME?</v>
      </c>
      <c r="K11" s="23" t="e">
        <f>ОКРУГЛВСЕ('Форма 4'!C78*'Базовые цены за единицу'!K11,8)</f>
        <v>#NAME?</v>
      </c>
      <c r="L11" s="22">
        <f>ROUND('Форма 4'!C78*'Базовые цены за единицу'!L11,2)</f>
        <v>0</v>
      </c>
      <c r="M11" s="22">
        <f>ROUND('Форма 4'!C78*'Базовые цены за единицу'!M11,2)</f>
        <v>0</v>
      </c>
      <c r="N11" s="22">
        <f>ROUND((C11+E11)*'Форма 4'!C81/100,2)</f>
        <v>0</v>
      </c>
      <c r="O11" s="22">
        <f>ROUND((C11+E11)*'Форма 4'!C84/100,2)</f>
        <v>0</v>
      </c>
      <c r="P11" s="22">
        <f>ROUND('Форма 4'!C78*'Базовые цены за единицу'!P11,2)</f>
        <v>0</v>
      </c>
      <c r="Q11" s="22">
        <f>ROUND('Форма 4'!C78*'Базовые цены за единицу'!Q11,2)</f>
        <v>0</v>
      </c>
      <c r="R11" s="22">
        <f>ROUND('Форма 4'!C78*'Базовые цены за единицу'!R11,2)</f>
        <v>0</v>
      </c>
      <c r="S11" s="22">
        <f>ROUND('Форма 4'!C78*'Базовые цены за единицу'!S11,2)</f>
        <v>0</v>
      </c>
      <c r="T11" s="22">
        <f>ROUND('Форма 4'!C78*'Базовые цены за единицу'!T11,2)</f>
        <v>0</v>
      </c>
      <c r="U11" s="22">
        <f>ROUND('Форма 4'!C78*'Базовые цены за единицу'!U11,2)</f>
        <v>0</v>
      </c>
      <c r="V11" s="22">
        <f>ROUND('Форма 4'!C78*'Базовые цены за единицу'!V11,2)</f>
        <v>0</v>
      </c>
      <c r="X11" s="22">
        <f>ROUND('Форма 4'!C78*'Базовые цены за единицу'!X11,2)</f>
        <v>0</v>
      </c>
      <c r="Y11" s="22">
        <f>IF(Определители!I11="9",ROUND((C11+E11)*(Начисления!M11/100)*('Форма 4'!C81/100),2),0)</f>
        <v>0</v>
      </c>
      <c r="Z11" s="22">
        <f>IF(Определители!I11="9",ROUND((C11+E11)*(100-Начисления!M11/100)*('Форма 4'!C81/100),2),0)</f>
        <v>0</v>
      </c>
      <c r="AA11" s="22">
        <f>IF(Определители!I11="9",ROUND((C11+E11)*(Начисления!M11/100)*('Форма 4'!C84/100),2),0)</f>
        <v>0</v>
      </c>
      <c r="AB11" s="22">
        <f>IF(Определители!I11="9",ROUND((C11+E11)*(100-Начисления!M11/100)*('Форма 4'!C84/100),2),0)</f>
        <v>0</v>
      </c>
      <c r="AC11" s="22">
        <f>IF(Определители!I11="9",ROUND(B11*Начисления!M11/100,2),0)</f>
        <v>0</v>
      </c>
      <c r="AD11" s="22">
        <f>IF(Определители!I11="9",ROUND(B11*(100-Начисления!M11)/100,2),0)</f>
        <v>0</v>
      </c>
    </row>
    <row r="12" spans="1:30" ht="10.5">
      <c r="A12" s="22" t="str">
        <f>'Форма 4'!A88</f>
        <v>7.</v>
      </c>
      <c r="B12" s="22">
        <f t="shared" si="0"/>
        <v>25.43</v>
      </c>
      <c r="C12" s="22">
        <f>ROUND('Форма 4'!C88*'Базовые цены за единицу'!C12,2)</f>
        <v>22.37</v>
      </c>
      <c r="D12" s="22">
        <f>ROUND('Форма 4'!C88*'Базовые цены за единицу'!D12,2)</f>
        <v>1.98</v>
      </c>
      <c r="E12" s="22">
        <f>ROUND('Форма 4'!C88*'Базовые цены за единицу'!E12,2)</f>
        <v>0</v>
      </c>
      <c r="F12" s="22">
        <f>ROUND('Форма 4'!C88*'Базовые цены за единицу'!F12,2)</f>
        <v>1.08</v>
      </c>
      <c r="G12" s="22">
        <f>ROUND('Форма 4'!C88*'Базовые цены за единицу'!G12,2)</f>
        <v>0</v>
      </c>
      <c r="H12" s="22">
        <f>ROUND('Форма 4'!C88*'Базовые цены за единицу'!H12,2)</f>
        <v>0</v>
      </c>
      <c r="I12" s="23" t="e">
        <f>ОКРУГЛВСЕ('Форма 4'!C88*'Базовые цены за единицу'!I12,8)</f>
        <v>#NAME?</v>
      </c>
      <c r="J12" s="23" t="e">
        <f>ОКРУГЛВСЕ('Форма 4'!C88*'Базовые цены за единицу'!J12,8)</f>
        <v>#NAME?</v>
      </c>
      <c r="K12" s="23" t="e">
        <f>ОКРУГЛВСЕ('Форма 4'!C88*'Базовые цены за единицу'!K12,8)</f>
        <v>#NAME?</v>
      </c>
      <c r="L12" s="22">
        <f>ROUND('Форма 4'!C88*'Базовые цены за единицу'!L12,2)</f>
        <v>0</v>
      </c>
      <c r="M12" s="22">
        <f>ROUND('Форма 4'!C88*'Базовые цены за единицу'!M12,2)</f>
        <v>0</v>
      </c>
      <c r="N12" s="22">
        <f>ROUND((C12+E12)*'Форма 4'!C92/100,2)</f>
        <v>25.73</v>
      </c>
      <c r="O12" s="22">
        <f>ROUND((C12+E12)*'Форма 4'!C95/100,2)</f>
        <v>15.88</v>
      </c>
      <c r="P12" s="22">
        <f>ROUND('Форма 4'!C88*'Базовые цены за единицу'!P12,2)</f>
        <v>25.73</v>
      </c>
      <c r="Q12" s="22">
        <f>ROUND('Форма 4'!C88*'Базовые цены за единицу'!Q12,2)</f>
        <v>0</v>
      </c>
      <c r="R12" s="22">
        <f>ROUND('Форма 4'!C88*'Базовые цены за единицу'!R12,2)</f>
        <v>15.88</v>
      </c>
      <c r="S12" s="22">
        <f>ROUND('Форма 4'!C88*'Базовые цены за единицу'!S12,2)</f>
        <v>0</v>
      </c>
      <c r="T12" s="22">
        <f>ROUND('Форма 4'!C88*'Базовые цены за единицу'!T12,2)</f>
        <v>0</v>
      </c>
      <c r="U12" s="22">
        <f>ROUND('Форма 4'!C88*'Базовые цены за единицу'!U12,2)</f>
        <v>0</v>
      </c>
      <c r="V12" s="22">
        <f>ROUND('Форма 4'!C88*'Базовые цены за единицу'!V12,2)</f>
        <v>0</v>
      </c>
      <c r="X12" s="22">
        <f>ROUND('Форма 4'!C88*'Базовые цены за единицу'!X12,2)</f>
        <v>0</v>
      </c>
      <c r="Y12" s="22">
        <f>IF(Определители!I12="9",ROUND((C12+E12)*(Начисления!M12/100)*('Форма 4'!C92/100),2),0)</f>
        <v>0</v>
      </c>
      <c r="Z12" s="22">
        <f>IF(Определители!I12="9",ROUND((C12+E12)*(100-Начисления!M12/100)*('Форма 4'!C92/100),2),0)</f>
        <v>0</v>
      </c>
      <c r="AA12" s="22">
        <f>IF(Определители!I12="9",ROUND((C12+E12)*(Начисления!M12/100)*('Форма 4'!C95/100),2),0)</f>
        <v>0</v>
      </c>
      <c r="AB12" s="22">
        <f>IF(Определители!I12="9",ROUND((C12+E12)*(100-Начисления!M12/100)*('Форма 4'!C95/100),2),0)</f>
        <v>0</v>
      </c>
      <c r="AC12" s="22">
        <f>IF(Определители!I12="9",ROUND(B12*Начисления!M12/100,2),0)</f>
        <v>0</v>
      </c>
      <c r="AD12" s="22">
        <f>IF(Определители!I12="9",ROUND(B12*(100-Начисления!M12)/100,2),0)</f>
        <v>0</v>
      </c>
    </row>
    <row r="13" spans="1:30" ht="10.5">
      <c r="A13" s="22" t="str">
        <f>'Форма 4'!A99</f>
        <v>8.</v>
      </c>
      <c r="B13" s="22">
        <f t="shared" si="0"/>
        <v>150.9</v>
      </c>
      <c r="C13" s="22">
        <f>ROUND('Форма 4'!C99*'Базовые цены за единицу'!C13,2)</f>
        <v>64.32</v>
      </c>
      <c r="D13" s="22">
        <f>ROUND('Форма 4'!C99*'Базовые цены за единицу'!D13,2)</f>
        <v>6.2</v>
      </c>
      <c r="E13" s="22">
        <f>ROUND('Форма 4'!C99*'Базовые цены за единицу'!E13,2)</f>
        <v>0</v>
      </c>
      <c r="F13" s="22">
        <f>ROUND('Форма 4'!C99*'Базовые цены за единицу'!F13,2)</f>
        <v>80.38</v>
      </c>
      <c r="G13" s="22">
        <f>ROUND('Форма 4'!C99*'Базовые цены за единицу'!G13,2)</f>
        <v>0</v>
      </c>
      <c r="H13" s="22">
        <f>ROUND('Форма 4'!C99*'Базовые цены за единицу'!H13,2)</f>
        <v>0</v>
      </c>
      <c r="I13" s="23" t="e">
        <f>ОКРУГЛВСЕ('Форма 4'!C99*'Базовые цены за единицу'!I13,8)</f>
        <v>#NAME?</v>
      </c>
      <c r="J13" s="23" t="e">
        <f>ОКРУГЛВСЕ('Форма 4'!C99*'Базовые цены за единицу'!J13,8)</f>
        <v>#NAME?</v>
      </c>
      <c r="K13" s="23" t="e">
        <f>ОКРУГЛВСЕ('Форма 4'!C99*'Базовые цены за единицу'!K13,8)</f>
        <v>#NAME?</v>
      </c>
      <c r="L13" s="22">
        <f>ROUND('Форма 4'!C99*'Базовые цены за единицу'!L13,2)</f>
        <v>0</v>
      </c>
      <c r="M13" s="22">
        <f>ROUND('Форма 4'!C99*'Базовые цены за единицу'!M13,2)</f>
        <v>0</v>
      </c>
      <c r="N13" s="22">
        <f>ROUND((C13+E13)*'Форма 4'!C102/100,2)</f>
        <v>73.97</v>
      </c>
      <c r="O13" s="22">
        <f>ROUND((C13+E13)*'Форма 4'!C105/100,2)</f>
        <v>45.67</v>
      </c>
      <c r="P13" s="22">
        <f>ROUND('Форма 4'!C99*'Базовые цены за единицу'!P13,2)</f>
        <v>73.97</v>
      </c>
      <c r="Q13" s="22">
        <f>ROUND('Форма 4'!C99*'Базовые цены за единицу'!Q13,2)</f>
        <v>0</v>
      </c>
      <c r="R13" s="22">
        <f>ROUND('Форма 4'!C99*'Базовые цены за единицу'!R13,2)</f>
        <v>45.67</v>
      </c>
      <c r="S13" s="22">
        <f>ROUND('Форма 4'!C99*'Базовые цены за единицу'!S13,2)</f>
        <v>0</v>
      </c>
      <c r="T13" s="22">
        <f>ROUND('Форма 4'!C99*'Базовые цены за единицу'!T13,2)</f>
        <v>0</v>
      </c>
      <c r="U13" s="22">
        <f>ROUND('Форма 4'!C99*'Базовые цены за единицу'!U13,2)</f>
        <v>0</v>
      </c>
      <c r="V13" s="22">
        <f>ROUND('Форма 4'!C99*'Базовые цены за единицу'!V13,2)</f>
        <v>0</v>
      </c>
      <c r="X13" s="22">
        <f>ROUND('Форма 4'!C99*'Базовые цены за единицу'!X13,2)</f>
        <v>0</v>
      </c>
      <c r="Y13" s="22">
        <f>IF(Определители!I13="9",ROUND((C13+E13)*(Начисления!M13/100)*('Форма 4'!C102/100),2),0)</f>
        <v>0</v>
      </c>
      <c r="Z13" s="22">
        <f>IF(Определители!I13="9",ROUND((C13+E13)*(100-Начисления!M13/100)*('Форма 4'!C102/100),2),0)</f>
        <v>0</v>
      </c>
      <c r="AA13" s="22">
        <f>IF(Определители!I13="9",ROUND((C13+E13)*(Начисления!M13/100)*('Форма 4'!C105/100),2),0)</f>
        <v>0</v>
      </c>
      <c r="AB13" s="22">
        <f>IF(Определители!I13="9",ROUND((C13+E13)*(100-Начисления!M13/100)*('Форма 4'!C105/100),2),0)</f>
        <v>0</v>
      </c>
      <c r="AC13" s="22">
        <f>IF(Определители!I13="9",ROUND(B13*Начисления!M13/100,2),0)</f>
        <v>0</v>
      </c>
      <c r="AD13" s="22">
        <f>IF(Определители!I13="9",ROUND(B13*(100-Начисления!M13)/100,2),0)</f>
        <v>0</v>
      </c>
    </row>
    <row r="14" spans="1:30" ht="10.5">
      <c r="A14" s="22" t="str">
        <f>'Форма 4'!A109</f>
        <v>9.</v>
      </c>
      <c r="B14" s="22">
        <f t="shared" si="0"/>
        <v>21.1</v>
      </c>
      <c r="C14" s="22">
        <f>ROUND('Форма 4'!C109*'Базовые цены за единицу'!C14,2)</f>
        <v>0</v>
      </c>
      <c r="D14" s="22">
        <f>ROUND('Форма 4'!C109*'Базовые цены за единицу'!D14,2)</f>
        <v>0</v>
      </c>
      <c r="E14" s="22">
        <f>ROUND('Форма 4'!C109*'Базовые цены за единицу'!E14,2)</f>
        <v>0</v>
      </c>
      <c r="F14" s="22">
        <f>ROUND('Форма 4'!C109*'Базовые цены за единицу'!F14,2)</f>
        <v>21.1</v>
      </c>
      <c r="G14" s="22">
        <f>ROUND('Форма 4'!C109*'Базовые цены за единицу'!G14,2)</f>
        <v>20.3</v>
      </c>
      <c r="H14" s="22">
        <f>ROUND('Форма 4'!C109*'Базовые цены за единицу'!H14,2)</f>
        <v>0</v>
      </c>
      <c r="I14" s="23" t="e">
        <f>ОКРУГЛВСЕ('Форма 4'!C109*'Базовые цены за единицу'!I14,8)</f>
        <v>#NAME?</v>
      </c>
      <c r="J14" s="23" t="e">
        <f>ОКРУГЛВСЕ('Форма 4'!C109*'Базовые цены за единицу'!J14,8)</f>
        <v>#NAME?</v>
      </c>
      <c r="K14" s="23" t="e">
        <f>ОКРУГЛВСЕ('Форма 4'!C109*'Базовые цены за единицу'!K14,8)</f>
        <v>#NAME?</v>
      </c>
      <c r="L14" s="22">
        <f>ROUND('Форма 4'!C109*'Базовые цены за единицу'!L14,2)</f>
        <v>7</v>
      </c>
      <c r="M14" s="22">
        <f>ROUND('Форма 4'!C109*'Базовые цены за единицу'!M14,2)</f>
        <v>0</v>
      </c>
      <c r="N14" s="22">
        <f>ROUND((C14+E14)*'Форма 4'!C111/100,2)</f>
        <v>0</v>
      </c>
      <c r="O14" s="22">
        <f>ROUND((C14+E14)*'Форма 4'!C114/100,2)</f>
        <v>0</v>
      </c>
      <c r="P14" s="22">
        <f>ROUND('Форма 4'!C109*'Базовые цены за единицу'!P14,2)</f>
        <v>0</v>
      </c>
      <c r="Q14" s="22">
        <f>ROUND('Форма 4'!C109*'Базовые цены за единицу'!Q14,2)</f>
        <v>0</v>
      </c>
      <c r="R14" s="22">
        <f>ROUND('Форма 4'!C109*'Базовые цены за единицу'!R14,2)</f>
        <v>0</v>
      </c>
      <c r="S14" s="22">
        <f>ROUND('Форма 4'!C109*'Базовые цены за единицу'!S14,2)</f>
        <v>0</v>
      </c>
      <c r="T14" s="22">
        <f>ROUND('Форма 4'!C109*'Базовые цены за единицу'!T14,2)</f>
        <v>0</v>
      </c>
      <c r="U14" s="22">
        <f>ROUND('Форма 4'!C109*'Базовые цены за единицу'!U14,2)</f>
        <v>0</v>
      </c>
      <c r="V14" s="22">
        <f>ROUND('Форма 4'!C109*'Базовые цены за единицу'!V14,2)</f>
        <v>0</v>
      </c>
      <c r="X14" s="22">
        <f>ROUND('Форма 4'!C109*'Базовые цены за единицу'!X14,2)</f>
        <v>0</v>
      </c>
      <c r="Y14" s="22">
        <f>IF(Определители!I14="9",ROUND((C14+E14)*(Начисления!M14/100)*('Форма 4'!C111/100),2),0)</f>
        <v>0</v>
      </c>
      <c r="Z14" s="22">
        <f>IF(Определители!I14="9",ROUND((C14+E14)*(100-Начисления!M14/100)*('Форма 4'!C111/100),2),0)</f>
        <v>0</v>
      </c>
      <c r="AA14" s="22">
        <f>IF(Определители!I14="9",ROUND((C14+E14)*(Начисления!M14/100)*('Форма 4'!C114/100),2),0)</f>
        <v>0</v>
      </c>
      <c r="AB14" s="22">
        <f>IF(Определители!I14="9",ROUND((C14+E14)*(100-Начисления!M14/100)*('Форма 4'!C114/100),2),0)</f>
        <v>0</v>
      </c>
      <c r="AC14" s="22">
        <f>IF(Определители!I14="9",ROUND(B14*Начисления!M14/100,2),0)</f>
        <v>0</v>
      </c>
      <c r="AD14" s="22">
        <f>IF(Определители!I14="9",ROUND(B14*(100-Начисления!M14)/100,2),0)</f>
        <v>0</v>
      </c>
    </row>
    <row r="15" spans="1:30" ht="10.5">
      <c r="A15" s="22" t="str">
        <f>'Форма 4'!A118</f>
        <v>10.</v>
      </c>
      <c r="B15" s="22">
        <f t="shared" si="0"/>
        <v>288.83</v>
      </c>
      <c r="C15" s="22">
        <f>ROUND('Форма 4'!C118*'Базовые цены за единицу'!C15,2)</f>
        <v>35.36</v>
      </c>
      <c r="D15" s="22">
        <f>ROUND('Форма 4'!C118*'Базовые цены за единицу'!D15,2)</f>
        <v>1.54</v>
      </c>
      <c r="E15" s="22">
        <f>ROUND('Форма 4'!C118*'Базовые цены за единицу'!E15,2)</f>
        <v>0</v>
      </c>
      <c r="F15" s="22">
        <f>ROUND('Форма 4'!C118*'Базовые цены за единицу'!F15,2)</f>
        <v>251.93</v>
      </c>
      <c r="G15" s="22">
        <f>ROUND('Форма 4'!C118*'Базовые цены за единицу'!G15,2)</f>
        <v>0</v>
      </c>
      <c r="H15" s="22">
        <f>ROUND('Форма 4'!C118*'Базовые цены за единицу'!H15,2)</f>
        <v>0</v>
      </c>
      <c r="I15" s="23" t="e">
        <f>ОКРУГЛВСЕ('Форма 4'!C118*'Базовые цены за единицу'!I15,8)</f>
        <v>#NAME?</v>
      </c>
      <c r="J15" s="23" t="e">
        <f>ОКРУГЛВСЕ('Форма 4'!C118*'Базовые цены за единицу'!J15,8)</f>
        <v>#NAME?</v>
      </c>
      <c r="K15" s="23" t="e">
        <f>ОКРУГЛВСЕ('Форма 4'!C118*'Базовые цены за единицу'!K15,8)</f>
        <v>#NAME?</v>
      </c>
      <c r="L15" s="22">
        <f>ROUND('Форма 4'!C118*'Базовые цены за единицу'!L15,2)</f>
        <v>0</v>
      </c>
      <c r="M15" s="22">
        <f>ROUND('Форма 4'!C118*'Базовые цены за единицу'!M15,2)</f>
        <v>0</v>
      </c>
      <c r="N15" s="22">
        <f>ROUND((C15+E15)*'Форма 4'!C120/100,2)</f>
        <v>36.42</v>
      </c>
      <c r="O15" s="22">
        <f>ROUND((C15+E15)*'Форма 4'!C123/100,2)</f>
        <v>21.22</v>
      </c>
      <c r="P15" s="22">
        <f>ROUND('Форма 4'!C118*'Базовые цены за единицу'!P15,2)</f>
        <v>36.42</v>
      </c>
      <c r="Q15" s="22">
        <f>ROUND('Форма 4'!C118*'Базовые цены за единицу'!Q15,2)</f>
        <v>0</v>
      </c>
      <c r="R15" s="22">
        <f>ROUND('Форма 4'!C118*'Базовые цены за единицу'!R15,2)</f>
        <v>21.22</v>
      </c>
      <c r="S15" s="22">
        <f>ROUND('Форма 4'!C118*'Базовые цены за единицу'!S15,2)</f>
        <v>0</v>
      </c>
      <c r="T15" s="22">
        <f>ROUND('Форма 4'!C118*'Базовые цены за единицу'!T15,2)</f>
        <v>0</v>
      </c>
      <c r="U15" s="22">
        <f>ROUND('Форма 4'!C118*'Базовые цены за единицу'!U15,2)</f>
        <v>0</v>
      </c>
      <c r="V15" s="22">
        <f>ROUND('Форма 4'!C118*'Базовые цены за единицу'!V15,2)</f>
        <v>0</v>
      </c>
      <c r="X15" s="22">
        <f>ROUND('Форма 4'!C118*'Базовые цены за единицу'!X15,2)</f>
        <v>0</v>
      </c>
      <c r="Y15" s="22">
        <f>IF(Определители!I15="9",ROUND((C15+E15)*(Начисления!M15/100)*('Форма 4'!C120/100),2),0)</f>
        <v>0</v>
      </c>
      <c r="Z15" s="22">
        <f>IF(Определители!I15="9",ROUND((C15+E15)*(100-Начисления!M15/100)*('Форма 4'!C120/100),2),0)</f>
        <v>0</v>
      </c>
      <c r="AA15" s="22">
        <f>IF(Определители!I15="9",ROUND((C15+E15)*(Начисления!M15/100)*('Форма 4'!C123/100),2),0)</f>
        <v>0</v>
      </c>
      <c r="AB15" s="22">
        <f>IF(Определители!I15="9",ROUND((C15+E15)*(100-Начисления!M15/100)*('Форма 4'!C123/100),2),0)</f>
        <v>0</v>
      </c>
      <c r="AC15" s="22">
        <f>IF(Определители!I15="9",ROUND(B15*Начисления!M15/100,2),0)</f>
        <v>0</v>
      </c>
      <c r="AD15" s="22">
        <f>IF(Определители!I15="9",ROUND(B15*(100-Начисления!M15)/100,2),0)</f>
        <v>0</v>
      </c>
    </row>
    <row r="16" spans="1:30" ht="10.5">
      <c r="A16" s="22" t="str">
        <f>'Форма 4'!A127</f>
        <v>11.</v>
      </c>
      <c r="B16" s="22">
        <f t="shared" si="0"/>
        <v>50</v>
      </c>
      <c r="C16" s="22">
        <f>ROUND('Форма 4'!C127*'Базовые цены за единицу'!C16,2)</f>
        <v>5.36</v>
      </c>
      <c r="D16" s="22">
        <f>ROUND('Форма 4'!C127*'Базовые цены за единицу'!D16,2)</f>
        <v>0.66</v>
      </c>
      <c r="E16" s="22">
        <f>ROUND('Форма 4'!C127*'Базовые цены за единицу'!E16,2)</f>
        <v>0.01</v>
      </c>
      <c r="F16" s="22">
        <f>ROUND('Форма 4'!C127*'Базовые цены за единицу'!F16,2)</f>
        <v>43.98</v>
      </c>
      <c r="G16" s="22">
        <f>ROUND('Форма 4'!C127*'Базовые цены за единицу'!G16,2)</f>
        <v>0</v>
      </c>
      <c r="H16" s="22">
        <f>ROUND('Форма 4'!C127*'Базовые цены за единицу'!H16,2)</f>
        <v>0</v>
      </c>
      <c r="I16" s="23" t="e">
        <f>ОКРУГЛВСЕ('Форма 4'!C127*'Базовые цены за единицу'!I16,8)</f>
        <v>#NAME?</v>
      </c>
      <c r="J16" s="23" t="e">
        <f>ОКРУГЛВСЕ('Форма 4'!C127*'Базовые цены за единицу'!J16,8)</f>
        <v>#NAME?</v>
      </c>
      <c r="K16" s="23" t="e">
        <f>ОКРУГЛВСЕ('Форма 4'!C127*'Базовые цены за единицу'!K16,8)</f>
        <v>#NAME?</v>
      </c>
      <c r="L16" s="22">
        <f>ROUND('Форма 4'!C127*'Базовые цены за единицу'!L16,2)</f>
        <v>0</v>
      </c>
      <c r="M16" s="22">
        <f>ROUND('Форма 4'!C127*'Базовые цены за единицу'!M16,2)</f>
        <v>0</v>
      </c>
      <c r="N16" s="22">
        <f>ROUND((C16+E16)*'Форма 4'!C129/100,2)</f>
        <v>5.53</v>
      </c>
      <c r="O16" s="22">
        <f>ROUND((C16+E16)*'Форма 4'!C132/100,2)</f>
        <v>3.22</v>
      </c>
      <c r="P16" s="22">
        <f>ROUND('Форма 4'!C127*'Базовые цены за единицу'!P16,2)</f>
        <v>5.53</v>
      </c>
      <c r="Q16" s="22">
        <f>ROUND('Форма 4'!C127*'Базовые цены за единицу'!Q16,2)</f>
        <v>0.01</v>
      </c>
      <c r="R16" s="22">
        <f>ROUND('Форма 4'!C127*'Базовые цены за единицу'!R16,2)</f>
        <v>3.22</v>
      </c>
      <c r="S16" s="22">
        <f>ROUND('Форма 4'!C127*'Базовые цены за единицу'!S16,2)</f>
        <v>0.01</v>
      </c>
      <c r="T16" s="22">
        <f>ROUND('Форма 4'!C127*'Базовые цены за единицу'!T16,2)</f>
        <v>0</v>
      </c>
      <c r="U16" s="22">
        <f>ROUND('Форма 4'!C127*'Базовые цены за единицу'!U16,2)</f>
        <v>0</v>
      </c>
      <c r="V16" s="22">
        <f>ROUND('Форма 4'!C127*'Базовые цены за единицу'!V16,2)</f>
        <v>0</v>
      </c>
      <c r="X16" s="22">
        <f>ROUND('Форма 4'!C127*'Базовые цены за единицу'!X16,2)</f>
        <v>0</v>
      </c>
      <c r="Y16" s="22">
        <f>IF(Определители!I16="9",ROUND((C16+E16)*(Начисления!M16/100)*('Форма 4'!C129/100),2),0)</f>
        <v>0</v>
      </c>
      <c r="Z16" s="22">
        <f>IF(Определители!I16="9",ROUND((C16+E16)*(100-Начисления!M16/100)*('Форма 4'!C129/100),2),0)</f>
        <v>0</v>
      </c>
      <c r="AA16" s="22">
        <f>IF(Определители!I16="9",ROUND((C16+E16)*(Начисления!M16/100)*('Форма 4'!C132/100),2),0)</f>
        <v>0</v>
      </c>
      <c r="AB16" s="22">
        <f>IF(Определители!I16="9",ROUND((C16+E16)*(100-Начисления!M16/100)*('Форма 4'!C132/100),2),0)</f>
        <v>0</v>
      </c>
      <c r="AC16" s="22">
        <f>IF(Определители!I16="9",ROUND(B16*Начисления!M16/100,2),0)</f>
        <v>0</v>
      </c>
      <c r="AD16" s="22">
        <f>IF(Определители!I16="9",ROUND(B16*(100-Начисления!M16)/100,2),0)</f>
        <v>0</v>
      </c>
    </row>
    <row r="17" spans="1:30" ht="10.5">
      <c r="A17" s="22" t="str">
        <f>'Форма 4'!A136</f>
        <v>12.</v>
      </c>
      <c r="B17" s="22">
        <f t="shared" si="0"/>
        <v>83</v>
      </c>
      <c r="C17" s="22">
        <f>ROUND('Форма 4'!C136*'Базовые цены за единицу'!C17,2)</f>
        <v>0</v>
      </c>
      <c r="D17" s="22">
        <f>ROUND('Форма 4'!C136*'Базовые цены за единицу'!D17,2)</f>
        <v>0</v>
      </c>
      <c r="E17" s="22">
        <f>ROUND('Форма 4'!C136*'Базовые цены за единицу'!E17,2)</f>
        <v>0</v>
      </c>
      <c r="F17" s="22">
        <f>ROUND('Форма 4'!C136*'Базовые цены за единицу'!F17,2)</f>
        <v>83</v>
      </c>
      <c r="G17" s="22">
        <f>ROUND('Форма 4'!C136*'Базовые цены за единицу'!G17,2)</f>
        <v>79.9</v>
      </c>
      <c r="H17" s="22">
        <f>ROUND('Форма 4'!C136*'Базовые цены за единицу'!H17,2)</f>
        <v>0</v>
      </c>
      <c r="I17" s="23" t="e">
        <f>ОКРУГЛВСЕ('Форма 4'!C136*'Базовые цены за единицу'!I17,8)</f>
        <v>#NAME?</v>
      </c>
      <c r="J17" s="23" t="e">
        <f>ОКРУГЛВСЕ('Форма 4'!C136*'Базовые цены за единицу'!J17,8)</f>
        <v>#NAME?</v>
      </c>
      <c r="K17" s="23" t="e">
        <f>ОКРУГЛВСЕ('Форма 4'!C136*'Базовые цены за единицу'!K17,8)</f>
        <v>#NAME?</v>
      </c>
      <c r="L17" s="22">
        <f>ROUND('Форма 4'!C136*'Базовые цены за единицу'!L17,2)</f>
        <v>7</v>
      </c>
      <c r="M17" s="22">
        <f>ROUND('Форма 4'!C136*'Базовые цены за единицу'!M17,2)</f>
        <v>0</v>
      </c>
      <c r="N17" s="22">
        <f>ROUND((C17+E17)*'Форма 4'!C138/100,2)</f>
        <v>0</v>
      </c>
      <c r="O17" s="22">
        <f>ROUND((C17+E17)*'Форма 4'!C141/100,2)</f>
        <v>0</v>
      </c>
      <c r="P17" s="22">
        <f>ROUND('Форма 4'!C136*'Базовые цены за единицу'!P17,2)</f>
        <v>0</v>
      </c>
      <c r="Q17" s="22">
        <f>ROUND('Форма 4'!C136*'Базовые цены за единицу'!Q17,2)</f>
        <v>0</v>
      </c>
      <c r="R17" s="22">
        <f>ROUND('Форма 4'!C136*'Базовые цены за единицу'!R17,2)</f>
        <v>0</v>
      </c>
      <c r="S17" s="22">
        <f>ROUND('Форма 4'!C136*'Базовые цены за единицу'!S17,2)</f>
        <v>0</v>
      </c>
      <c r="T17" s="22">
        <f>ROUND('Форма 4'!C136*'Базовые цены за единицу'!T17,2)</f>
        <v>0</v>
      </c>
      <c r="U17" s="22">
        <f>ROUND('Форма 4'!C136*'Базовые цены за единицу'!U17,2)</f>
        <v>0</v>
      </c>
      <c r="V17" s="22">
        <f>ROUND('Форма 4'!C136*'Базовые цены за единицу'!V17,2)</f>
        <v>0</v>
      </c>
      <c r="X17" s="22">
        <f>ROUND('Форма 4'!C136*'Базовые цены за единицу'!X17,2)</f>
        <v>0</v>
      </c>
      <c r="Y17" s="22">
        <f>IF(Определители!I17="9",ROUND((C17+E17)*(Начисления!M17/100)*('Форма 4'!C138/100),2),0)</f>
        <v>0</v>
      </c>
      <c r="Z17" s="22">
        <f>IF(Определители!I17="9",ROUND((C17+E17)*(100-Начисления!M17/100)*('Форма 4'!C138/100),2),0)</f>
        <v>0</v>
      </c>
      <c r="AA17" s="22">
        <f>IF(Определители!I17="9",ROUND((C17+E17)*(Начисления!M17/100)*('Форма 4'!C141/100),2),0)</f>
        <v>0</v>
      </c>
      <c r="AB17" s="22">
        <f>IF(Определители!I17="9",ROUND((C17+E17)*(100-Начисления!M17/100)*('Форма 4'!C141/100),2),0)</f>
        <v>0</v>
      </c>
      <c r="AC17" s="22">
        <f>IF(Определители!I17="9",ROUND(B17*Начисления!M17/100,2),0)</f>
        <v>0</v>
      </c>
      <c r="AD17" s="22">
        <f>IF(Определители!I17="9",ROUND(B17*(100-Начисления!M17)/100,2),0)</f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U17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3" customWidth="1"/>
    <col min="2" max="16384" width="9.140625" style="22" customWidth="1"/>
  </cols>
  <sheetData>
    <row r="1" spans="1:47" s="24" customFormat="1" ht="10.5">
      <c r="A1" s="7"/>
      <c r="B1" s="24" t="s">
        <v>163</v>
      </c>
      <c r="C1" s="24" t="s">
        <v>164</v>
      </c>
      <c r="D1" s="24" t="s">
        <v>165</v>
      </c>
      <c r="E1" s="24" t="s">
        <v>166</v>
      </c>
      <c r="F1" s="24" t="s">
        <v>167</v>
      </c>
      <c r="G1" s="24" t="s">
        <v>168</v>
      </c>
      <c r="H1" s="24" t="s">
        <v>169</v>
      </c>
      <c r="I1" s="24" t="s">
        <v>170</v>
      </c>
      <c r="J1" s="24" t="s">
        <v>171</v>
      </c>
      <c r="K1" s="24" t="s">
        <v>172</v>
      </c>
      <c r="L1" s="24" t="s">
        <v>173</v>
      </c>
      <c r="M1" s="24" t="s">
        <v>174</v>
      </c>
      <c r="N1" s="24" t="s">
        <v>175</v>
      </c>
      <c r="O1" s="24" t="s">
        <v>176</v>
      </c>
      <c r="P1" s="24" t="s">
        <v>177</v>
      </c>
      <c r="Q1" s="24" t="s">
        <v>178</v>
      </c>
      <c r="R1" s="24" t="s">
        <v>179</v>
      </c>
      <c r="S1" s="24" t="s">
        <v>180</v>
      </c>
      <c r="T1" s="24" t="s">
        <v>181</v>
      </c>
      <c r="U1" s="24" t="s">
        <v>182</v>
      </c>
      <c r="V1" s="24" t="s">
        <v>183</v>
      </c>
      <c r="W1" s="24" t="s">
        <v>184</v>
      </c>
      <c r="X1" s="24" t="s">
        <v>185</v>
      </c>
      <c r="Y1" s="24" t="s">
        <v>186</v>
      </c>
      <c r="Z1" s="24" t="s">
        <v>187</v>
      </c>
      <c r="AA1" s="24" t="s">
        <v>188</v>
      </c>
      <c r="AB1" s="24" t="s">
        <v>189</v>
      </c>
      <c r="AC1" s="24" t="s">
        <v>190</v>
      </c>
      <c r="AD1" s="24" t="s">
        <v>191</v>
      </c>
      <c r="AE1" s="24" t="s">
        <v>192</v>
      </c>
      <c r="AF1" s="24" t="s">
        <v>193</v>
      </c>
      <c r="AG1" s="24" t="s">
        <v>194</v>
      </c>
      <c r="AH1" s="24" t="s">
        <v>195</v>
      </c>
      <c r="AI1" s="24" t="s">
        <v>196</v>
      </c>
      <c r="AJ1" s="24" t="s">
        <v>197</v>
      </c>
      <c r="AK1" s="24" t="s">
        <v>198</v>
      </c>
      <c r="AL1" s="24" t="s">
        <v>199</v>
      </c>
      <c r="AM1" s="24" t="s">
        <v>200</v>
      </c>
      <c r="AN1" s="24" t="s">
        <v>201</v>
      </c>
      <c r="AO1" s="24" t="s">
        <v>202</v>
      </c>
      <c r="AP1" s="24" t="s">
        <v>203</v>
      </c>
      <c r="AQ1" s="24" t="s">
        <v>204</v>
      </c>
      <c r="AR1" s="24" t="s">
        <v>205</v>
      </c>
      <c r="AS1" s="24" t="s">
        <v>206</v>
      </c>
      <c r="AT1" s="24" t="s">
        <v>207</v>
      </c>
      <c r="AU1" s="24" t="s">
        <v>208</v>
      </c>
    </row>
    <row r="2" spans="1:10" ht="10.5">
      <c r="A2" s="56"/>
      <c r="B2" s="57"/>
      <c r="C2" s="57"/>
      <c r="D2" s="57"/>
      <c r="E2" s="57"/>
      <c r="F2" s="57"/>
      <c r="G2" s="57"/>
      <c r="H2" s="57"/>
      <c r="I2" s="57"/>
      <c r="J2" s="57"/>
    </row>
    <row r="3" spans="1:10" ht="10.5">
      <c r="A3" s="25"/>
      <c r="B3" s="58" t="s">
        <v>161</v>
      </c>
      <c r="C3" s="58"/>
      <c r="D3" s="58"/>
      <c r="E3" s="58"/>
      <c r="F3" s="58"/>
      <c r="G3" s="58"/>
      <c r="H3" s="58"/>
      <c r="I3" s="58"/>
      <c r="J3" s="58"/>
    </row>
    <row r="4" spans="1:10" ht="10.5">
      <c r="A4" s="25"/>
      <c r="B4" s="58" t="s">
        <v>162</v>
      </c>
      <c r="C4" s="58"/>
      <c r="D4" s="58"/>
      <c r="E4" s="58"/>
      <c r="F4" s="58"/>
      <c r="G4" s="58"/>
      <c r="H4" s="58"/>
      <c r="I4" s="58"/>
      <c r="J4" s="58"/>
    </row>
    <row r="5" spans="1:10" ht="10.5">
      <c r="A5" s="56"/>
      <c r="B5" s="57"/>
      <c r="C5" s="57"/>
      <c r="D5" s="57"/>
      <c r="E5" s="57"/>
      <c r="F5" s="57"/>
      <c r="G5" s="57"/>
      <c r="H5" s="57"/>
      <c r="I5" s="57"/>
      <c r="J5" s="57"/>
    </row>
    <row r="6" spans="1:47" ht="10.5">
      <c r="A6" s="23" t="str">
        <f>'Форма 4'!A26</f>
        <v>1.</v>
      </c>
      <c r="B6" s="23">
        <v>1</v>
      </c>
      <c r="C6" s="23">
        <v>0</v>
      </c>
      <c r="D6" s="23">
        <v>0.4</v>
      </c>
      <c r="E6" s="23">
        <v>0.4</v>
      </c>
      <c r="F6" s="23">
        <v>0.4</v>
      </c>
      <c r="G6" s="23">
        <v>1</v>
      </c>
      <c r="H6" s="23">
        <v>1</v>
      </c>
      <c r="I6" s="23">
        <v>1</v>
      </c>
      <c r="J6" s="23">
        <v>1</v>
      </c>
      <c r="K6" s="23">
        <v>0</v>
      </c>
      <c r="L6" s="23">
        <v>0</v>
      </c>
      <c r="M6" s="23">
        <v>100</v>
      </c>
      <c r="N6" s="23">
        <v>0</v>
      </c>
      <c r="O6" s="23">
        <v>0</v>
      </c>
      <c r="P6" s="23">
        <v>1</v>
      </c>
      <c r="Q6" s="23">
        <v>1</v>
      </c>
      <c r="R6" s="23">
        <v>0</v>
      </c>
      <c r="S6" s="23">
        <v>0</v>
      </c>
      <c r="T6" s="23">
        <v>1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  <c r="AE6" s="23">
        <v>0</v>
      </c>
      <c r="AF6" s="23">
        <v>0</v>
      </c>
      <c r="AG6" s="23">
        <v>1.7</v>
      </c>
      <c r="AH6" s="23">
        <v>1.6</v>
      </c>
      <c r="AI6" s="23">
        <v>1.29</v>
      </c>
      <c r="AJ6" s="23">
        <v>0.092</v>
      </c>
      <c r="AK6" s="23">
        <v>0.18</v>
      </c>
      <c r="AL6" s="23">
        <v>1</v>
      </c>
      <c r="AM6" s="23">
        <v>1</v>
      </c>
      <c r="AN6" s="23">
        <v>0.2</v>
      </c>
      <c r="AO6" s="23">
        <v>1.5</v>
      </c>
      <c r="AP6" s="23">
        <v>0</v>
      </c>
      <c r="AQ6" s="23">
        <v>1</v>
      </c>
      <c r="AR6" s="23">
        <v>1</v>
      </c>
      <c r="AS6" s="23">
        <v>1</v>
      </c>
      <c r="AT6" s="23">
        <v>1</v>
      </c>
      <c r="AU6" s="23">
        <v>100</v>
      </c>
    </row>
    <row r="7" spans="1:47" ht="10.5">
      <c r="A7" s="23" t="str">
        <f>'Форма 4'!A36</f>
        <v>2.</v>
      </c>
      <c r="B7" s="23">
        <v>1</v>
      </c>
      <c r="C7" s="23">
        <v>1</v>
      </c>
      <c r="D7" s="23">
        <v>1.25</v>
      </c>
      <c r="E7" s="23">
        <v>1.25</v>
      </c>
      <c r="F7" s="23">
        <v>1.15</v>
      </c>
      <c r="G7" s="23">
        <v>1</v>
      </c>
      <c r="H7" s="23">
        <v>1</v>
      </c>
      <c r="I7" s="23">
        <v>1</v>
      </c>
      <c r="J7" s="23">
        <v>1</v>
      </c>
      <c r="K7" s="23">
        <v>0</v>
      </c>
      <c r="L7" s="23">
        <v>0</v>
      </c>
      <c r="M7" s="23">
        <v>100</v>
      </c>
      <c r="N7" s="23">
        <v>0</v>
      </c>
      <c r="O7" s="23">
        <v>0</v>
      </c>
      <c r="P7" s="23">
        <v>1</v>
      </c>
      <c r="Q7" s="23">
        <v>1</v>
      </c>
      <c r="R7" s="23">
        <v>0</v>
      </c>
      <c r="S7" s="23">
        <v>0</v>
      </c>
      <c r="T7" s="23">
        <v>1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1.7</v>
      </c>
      <c r="AH7" s="23">
        <v>1.6</v>
      </c>
      <c r="AI7" s="23">
        <v>1.29</v>
      </c>
      <c r="AJ7" s="23">
        <v>0.092</v>
      </c>
      <c r="AK7" s="23">
        <v>0.18</v>
      </c>
      <c r="AL7" s="23">
        <v>1</v>
      </c>
      <c r="AM7" s="23">
        <v>1</v>
      </c>
      <c r="AN7" s="23">
        <v>0.2</v>
      </c>
      <c r="AO7" s="23">
        <v>1.5</v>
      </c>
      <c r="AP7" s="23">
        <v>1</v>
      </c>
      <c r="AQ7" s="23">
        <v>1</v>
      </c>
      <c r="AR7" s="23">
        <v>1</v>
      </c>
      <c r="AS7" s="23">
        <v>1</v>
      </c>
      <c r="AT7" s="23">
        <v>1</v>
      </c>
      <c r="AU7" s="23">
        <v>100</v>
      </c>
    </row>
    <row r="8" spans="1:47" ht="10.5">
      <c r="A8" s="23" t="str">
        <f>'Форма 4'!A46</f>
        <v>3.</v>
      </c>
      <c r="B8" s="23">
        <v>1</v>
      </c>
      <c r="C8" s="23">
        <v>1</v>
      </c>
      <c r="D8" s="23">
        <v>1</v>
      </c>
      <c r="E8" s="23">
        <v>1</v>
      </c>
      <c r="F8" s="23">
        <v>1</v>
      </c>
      <c r="G8" s="23">
        <v>1</v>
      </c>
      <c r="H8" s="23">
        <v>1</v>
      </c>
      <c r="I8" s="23">
        <v>1</v>
      </c>
      <c r="J8" s="23">
        <v>1</v>
      </c>
      <c r="K8" s="23">
        <v>0</v>
      </c>
      <c r="L8" s="23">
        <v>0</v>
      </c>
      <c r="M8" s="23">
        <v>100</v>
      </c>
      <c r="N8" s="23">
        <v>0</v>
      </c>
      <c r="O8" s="23">
        <v>0</v>
      </c>
      <c r="P8" s="23">
        <v>1</v>
      </c>
      <c r="Q8" s="23">
        <v>1</v>
      </c>
      <c r="R8" s="23">
        <v>0</v>
      </c>
      <c r="S8" s="23">
        <v>0</v>
      </c>
      <c r="T8" s="23">
        <v>1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1.7</v>
      </c>
      <c r="AH8" s="23">
        <v>1.6</v>
      </c>
      <c r="AI8" s="23">
        <v>1.29</v>
      </c>
      <c r="AJ8" s="23">
        <v>0.092</v>
      </c>
      <c r="AK8" s="23">
        <v>0.18</v>
      </c>
      <c r="AL8" s="23">
        <v>1</v>
      </c>
      <c r="AM8" s="23">
        <v>1</v>
      </c>
      <c r="AN8" s="23">
        <v>0.2</v>
      </c>
      <c r="AO8" s="23">
        <v>1.5</v>
      </c>
      <c r="AP8" s="23">
        <v>1</v>
      </c>
      <c r="AQ8" s="23">
        <v>1</v>
      </c>
      <c r="AR8" s="23">
        <v>1</v>
      </c>
      <c r="AS8" s="23">
        <v>1</v>
      </c>
      <c r="AT8" s="23">
        <v>1</v>
      </c>
      <c r="AU8" s="23">
        <v>100</v>
      </c>
    </row>
    <row r="9" spans="1:47" ht="10.5">
      <c r="A9" s="23" t="str">
        <f>'Форма 4'!A56</f>
        <v>4.</v>
      </c>
      <c r="B9" s="23">
        <v>1</v>
      </c>
      <c r="C9" s="23">
        <v>1</v>
      </c>
      <c r="D9" s="23">
        <v>0.4</v>
      </c>
      <c r="E9" s="23">
        <v>0.4</v>
      </c>
      <c r="F9" s="23">
        <v>0.4</v>
      </c>
      <c r="G9" s="23">
        <v>1</v>
      </c>
      <c r="H9" s="23">
        <v>1</v>
      </c>
      <c r="I9" s="23">
        <v>1</v>
      </c>
      <c r="J9" s="23">
        <v>1</v>
      </c>
      <c r="K9" s="23">
        <v>0</v>
      </c>
      <c r="L9" s="23">
        <v>0</v>
      </c>
      <c r="M9" s="23">
        <v>100</v>
      </c>
      <c r="N9" s="23">
        <v>0</v>
      </c>
      <c r="O9" s="23">
        <v>0</v>
      </c>
      <c r="P9" s="23">
        <v>1</v>
      </c>
      <c r="Q9" s="23">
        <v>1</v>
      </c>
      <c r="R9" s="23">
        <v>0</v>
      </c>
      <c r="S9" s="23">
        <v>0</v>
      </c>
      <c r="T9" s="23">
        <v>1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1.7</v>
      </c>
      <c r="AH9" s="23">
        <v>1.6</v>
      </c>
      <c r="AI9" s="23">
        <v>1.29</v>
      </c>
      <c r="AJ9" s="23">
        <v>0.092</v>
      </c>
      <c r="AK9" s="23">
        <v>0.18</v>
      </c>
      <c r="AL9" s="23">
        <v>1</v>
      </c>
      <c r="AM9" s="23">
        <v>1</v>
      </c>
      <c r="AN9" s="23">
        <v>0.2</v>
      </c>
      <c r="AO9" s="23">
        <v>1.5</v>
      </c>
      <c r="AP9" s="23">
        <v>1</v>
      </c>
      <c r="AQ9" s="23">
        <v>1</v>
      </c>
      <c r="AR9" s="23">
        <v>1</v>
      </c>
      <c r="AS9" s="23">
        <v>1</v>
      </c>
      <c r="AT9" s="23">
        <v>1</v>
      </c>
      <c r="AU9" s="23">
        <v>100</v>
      </c>
    </row>
    <row r="10" spans="1:47" ht="10.5">
      <c r="A10" s="23" t="str">
        <f>'Форма 4'!A67</f>
        <v>5.</v>
      </c>
      <c r="B10" s="23">
        <v>1</v>
      </c>
      <c r="C10" s="23">
        <v>1</v>
      </c>
      <c r="D10" s="23">
        <v>1.25</v>
      </c>
      <c r="E10" s="23">
        <v>1.25</v>
      </c>
      <c r="F10" s="23">
        <v>1.15</v>
      </c>
      <c r="G10" s="23">
        <v>1</v>
      </c>
      <c r="H10" s="23">
        <v>1</v>
      </c>
      <c r="I10" s="23">
        <v>1</v>
      </c>
      <c r="J10" s="23">
        <v>1</v>
      </c>
      <c r="K10" s="23">
        <v>0</v>
      </c>
      <c r="L10" s="23">
        <v>0</v>
      </c>
      <c r="M10" s="23">
        <v>100</v>
      </c>
      <c r="N10" s="23">
        <v>0</v>
      </c>
      <c r="O10" s="23">
        <v>0</v>
      </c>
      <c r="P10" s="23">
        <v>1</v>
      </c>
      <c r="Q10" s="23">
        <v>1</v>
      </c>
      <c r="R10" s="23">
        <v>0</v>
      </c>
      <c r="S10" s="23">
        <v>0</v>
      </c>
      <c r="T10" s="23">
        <v>1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1.7</v>
      </c>
      <c r="AH10" s="23">
        <v>1.6</v>
      </c>
      <c r="AI10" s="23">
        <v>1.29</v>
      </c>
      <c r="AJ10" s="23">
        <v>0.092</v>
      </c>
      <c r="AK10" s="23">
        <v>0.18</v>
      </c>
      <c r="AL10" s="23">
        <v>1</v>
      </c>
      <c r="AM10" s="23">
        <v>1</v>
      </c>
      <c r="AN10" s="23">
        <v>0.2</v>
      </c>
      <c r="AO10" s="23">
        <v>1.5</v>
      </c>
      <c r="AP10" s="23">
        <v>1</v>
      </c>
      <c r="AQ10" s="23">
        <v>1</v>
      </c>
      <c r="AR10" s="23">
        <v>1</v>
      </c>
      <c r="AS10" s="23">
        <v>1</v>
      </c>
      <c r="AT10" s="23">
        <v>1</v>
      </c>
      <c r="AU10" s="23">
        <v>100</v>
      </c>
    </row>
    <row r="11" spans="1:47" ht="10.5">
      <c r="A11" s="23" t="str">
        <f>'Форма 4'!A78</f>
        <v>6.</v>
      </c>
      <c r="B11" s="23">
        <v>1</v>
      </c>
      <c r="C11" s="23">
        <v>1</v>
      </c>
      <c r="D11" s="23">
        <v>1</v>
      </c>
      <c r="E11" s="23">
        <v>1</v>
      </c>
      <c r="F11" s="23">
        <v>1</v>
      </c>
      <c r="G11" s="23">
        <v>1</v>
      </c>
      <c r="H11" s="23">
        <v>1</v>
      </c>
      <c r="I11" s="23">
        <v>1</v>
      </c>
      <c r="J11" s="23">
        <v>1</v>
      </c>
      <c r="K11" s="23">
        <v>0</v>
      </c>
      <c r="L11" s="23">
        <v>0</v>
      </c>
      <c r="M11" s="23">
        <v>100</v>
      </c>
      <c r="N11" s="23">
        <v>0</v>
      </c>
      <c r="O11" s="23">
        <v>0</v>
      </c>
      <c r="P11" s="23">
        <v>1</v>
      </c>
      <c r="Q11" s="23">
        <v>1</v>
      </c>
      <c r="R11" s="23">
        <v>0</v>
      </c>
      <c r="S11" s="23">
        <v>0</v>
      </c>
      <c r="T11" s="23">
        <v>1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1.7</v>
      </c>
      <c r="AH11" s="23">
        <v>1.6</v>
      </c>
      <c r="AI11" s="23">
        <v>1.29</v>
      </c>
      <c r="AJ11" s="23">
        <v>0.092</v>
      </c>
      <c r="AK11" s="23">
        <v>0.18</v>
      </c>
      <c r="AL11" s="23">
        <v>1</v>
      </c>
      <c r="AM11" s="23">
        <v>1</v>
      </c>
      <c r="AN11" s="23">
        <v>0.2</v>
      </c>
      <c r="AO11" s="23">
        <v>1.5</v>
      </c>
      <c r="AP11" s="23">
        <v>1</v>
      </c>
      <c r="AQ11" s="23">
        <v>1</v>
      </c>
      <c r="AR11" s="23">
        <v>1</v>
      </c>
      <c r="AS11" s="23">
        <v>1</v>
      </c>
      <c r="AT11" s="23">
        <v>1</v>
      </c>
      <c r="AU11" s="23">
        <v>100</v>
      </c>
    </row>
    <row r="12" spans="1:47" ht="10.5">
      <c r="A12" s="23" t="str">
        <f>'Форма 4'!A88</f>
        <v>7.</v>
      </c>
      <c r="B12" s="23">
        <v>1</v>
      </c>
      <c r="C12" s="23">
        <v>1</v>
      </c>
      <c r="D12" s="23">
        <v>0.4</v>
      </c>
      <c r="E12" s="23">
        <v>0.4</v>
      </c>
      <c r="F12" s="23">
        <v>0.4</v>
      </c>
      <c r="G12" s="23">
        <v>1</v>
      </c>
      <c r="H12" s="23">
        <v>1</v>
      </c>
      <c r="I12" s="23">
        <v>1</v>
      </c>
      <c r="J12" s="23">
        <v>1</v>
      </c>
      <c r="K12" s="23">
        <v>0</v>
      </c>
      <c r="L12" s="23">
        <v>0</v>
      </c>
      <c r="M12" s="23">
        <v>100</v>
      </c>
      <c r="N12" s="23">
        <v>0</v>
      </c>
      <c r="O12" s="23">
        <v>0</v>
      </c>
      <c r="P12" s="23">
        <v>1</v>
      </c>
      <c r="Q12" s="23">
        <v>1</v>
      </c>
      <c r="R12" s="23">
        <v>0</v>
      </c>
      <c r="S12" s="23">
        <v>0</v>
      </c>
      <c r="T12" s="23">
        <v>1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1.7</v>
      </c>
      <c r="AH12" s="23">
        <v>1.6</v>
      </c>
      <c r="AI12" s="23">
        <v>1.29</v>
      </c>
      <c r="AJ12" s="23">
        <v>0.092</v>
      </c>
      <c r="AK12" s="23">
        <v>0.18</v>
      </c>
      <c r="AL12" s="23">
        <v>1</v>
      </c>
      <c r="AM12" s="23">
        <v>1</v>
      </c>
      <c r="AN12" s="23">
        <v>0.2</v>
      </c>
      <c r="AO12" s="23">
        <v>1.5</v>
      </c>
      <c r="AP12" s="23">
        <v>1</v>
      </c>
      <c r="AQ12" s="23">
        <v>1</v>
      </c>
      <c r="AR12" s="23">
        <v>1</v>
      </c>
      <c r="AS12" s="23">
        <v>1</v>
      </c>
      <c r="AT12" s="23">
        <v>1</v>
      </c>
      <c r="AU12" s="23">
        <v>100</v>
      </c>
    </row>
    <row r="13" spans="1:47" ht="10.5">
      <c r="A13" s="23" t="str">
        <f>'Форма 4'!A99</f>
        <v>8.</v>
      </c>
      <c r="B13" s="23">
        <v>1</v>
      </c>
      <c r="C13" s="23">
        <v>1</v>
      </c>
      <c r="D13" s="23">
        <v>1.25</v>
      </c>
      <c r="E13" s="23">
        <v>1.25</v>
      </c>
      <c r="F13" s="23">
        <v>1.15</v>
      </c>
      <c r="G13" s="23">
        <v>1</v>
      </c>
      <c r="H13" s="23">
        <v>1</v>
      </c>
      <c r="I13" s="23">
        <v>1</v>
      </c>
      <c r="J13" s="23">
        <v>1</v>
      </c>
      <c r="K13" s="23">
        <v>0</v>
      </c>
      <c r="L13" s="23">
        <v>0</v>
      </c>
      <c r="M13" s="23">
        <v>100</v>
      </c>
      <c r="N13" s="23">
        <v>0</v>
      </c>
      <c r="O13" s="23">
        <v>0</v>
      </c>
      <c r="P13" s="23">
        <v>1</v>
      </c>
      <c r="Q13" s="23">
        <v>1</v>
      </c>
      <c r="R13" s="23">
        <v>0</v>
      </c>
      <c r="S13" s="23">
        <v>0</v>
      </c>
      <c r="T13" s="23">
        <v>1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1.7</v>
      </c>
      <c r="AH13" s="23">
        <v>1.6</v>
      </c>
      <c r="AI13" s="23">
        <v>1.29</v>
      </c>
      <c r="AJ13" s="23">
        <v>0.092</v>
      </c>
      <c r="AK13" s="23">
        <v>0.18</v>
      </c>
      <c r="AL13" s="23">
        <v>1</v>
      </c>
      <c r="AM13" s="23">
        <v>1</v>
      </c>
      <c r="AN13" s="23">
        <v>0.2</v>
      </c>
      <c r="AO13" s="23">
        <v>1.5</v>
      </c>
      <c r="AP13" s="23">
        <v>1</v>
      </c>
      <c r="AQ13" s="23">
        <v>1</v>
      </c>
      <c r="AR13" s="23">
        <v>1</v>
      </c>
      <c r="AS13" s="23">
        <v>1</v>
      </c>
      <c r="AT13" s="23">
        <v>1</v>
      </c>
      <c r="AU13" s="23">
        <v>100</v>
      </c>
    </row>
    <row r="14" spans="1:47" ht="10.5">
      <c r="A14" s="23" t="str">
        <f>'Форма 4'!A109</f>
        <v>9.</v>
      </c>
      <c r="B14" s="23">
        <v>1</v>
      </c>
      <c r="C14" s="23">
        <v>1</v>
      </c>
      <c r="D14" s="23">
        <v>1</v>
      </c>
      <c r="E14" s="23">
        <v>1</v>
      </c>
      <c r="F14" s="23">
        <v>1</v>
      </c>
      <c r="G14" s="23">
        <v>1</v>
      </c>
      <c r="H14" s="23">
        <v>1</v>
      </c>
      <c r="I14" s="23">
        <v>1</v>
      </c>
      <c r="J14" s="23">
        <v>1</v>
      </c>
      <c r="K14" s="23">
        <v>0</v>
      </c>
      <c r="L14" s="23">
        <v>0</v>
      </c>
      <c r="M14" s="23">
        <v>100</v>
      </c>
      <c r="N14" s="23">
        <v>0</v>
      </c>
      <c r="O14" s="23">
        <v>0</v>
      </c>
      <c r="P14" s="23">
        <v>1</v>
      </c>
      <c r="Q14" s="23">
        <v>1</v>
      </c>
      <c r="R14" s="23">
        <v>0</v>
      </c>
      <c r="S14" s="23">
        <v>0</v>
      </c>
      <c r="T14" s="23">
        <v>1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23">
        <v>1.7</v>
      </c>
      <c r="AH14" s="23">
        <v>1.6</v>
      </c>
      <c r="AI14" s="23">
        <v>1.29</v>
      </c>
      <c r="AJ14" s="23">
        <v>0.092</v>
      </c>
      <c r="AK14" s="23">
        <v>0.18</v>
      </c>
      <c r="AL14" s="23">
        <v>1</v>
      </c>
      <c r="AM14" s="23">
        <v>1</v>
      </c>
      <c r="AN14" s="23">
        <v>0.2</v>
      </c>
      <c r="AO14" s="23">
        <v>1.5</v>
      </c>
      <c r="AP14" s="23">
        <v>1</v>
      </c>
      <c r="AQ14" s="23">
        <v>1</v>
      </c>
      <c r="AR14" s="23">
        <v>1</v>
      </c>
      <c r="AS14" s="23">
        <v>1</v>
      </c>
      <c r="AT14" s="23">
        <v>1</v>
      </c>
      <c r="AU14" s="23">
        <v>100</v>
      </c>
    </row>
    <row r="15" spans="1:47" ht="10.5">
      <c r="A15" s="23" t="str">
        <f>'Форма 4'!A118</f>
        <v>10.</v>
      </c>
      <c r="B15" s="23">
        <v>1</v>
      </c>
      <c r="C15" s="23">
        <v>1</v>
      </c>
      <c r="D15" s="23">
        <v>1</v>
      </c>
      <c r="E15" s="23">
        <v>1</v>
      </c>
      <c r="F15" s="23">
        <v>1</v>
      </c>
      <c r="G15" s="23">
        <v>1</v>
      </c>
      <c r="H15" s="23">
        <v>1</v>
      </c>
      <c r="I15" s="23">
        <v>1</v>
      </c>
      <c r="J15" s="23">
        <v>1</v>
      </c>
      <c r="K15" s="23">
        <v>0</v>
      </c>
      <c r="L15" s="23">
        <v>0</v>
      </c>
      <c r="M15" s="23">
        <v>100</v>
      </c>
      <c r="N15" s="23">
        <v>0</v>
      </c>
      <c r="O15" s="23">
        <v>0</v>
      </c>
      <c r="P15" s="23">
        <v>1</v>
      </c>
      <c r="Q15" s="23">
        <v>1</v>
      </c>
      <c r="R15" s="23">
        <v>0</v>
      </c>
      <c r="S15" s="23">
        <v>0</v>
      </c>
      <c r="T15" s="23">
        <v>1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1.7</v>
      </c>
      <c r="AH15" s="23">
        <v>1.6</v>
      </c>
      <c r="AI15" s="23">
        <v>1.29</v>
      </c>
      <c r="AJ15" s="23">
        <v>0.092</v>
      </c>
      <c r="AK15" s="23">
        <v>0.18</v>
      </c>
      <c r="AL15" s="23">
        <v>1</v>
      </c>
      <c r="AM15" s="23">
        <v>1</v>
      </c>
      <c r="AN15" s="23">
        <v>0.2</v>
      </c>
      <c r="AO15" s="23">
        <v>1.5</v>
      </c>
      <c r="AP15" s="23">
        <v>1</v>
      </c>
      <c r="AQ15" s="23">
        <v>1</v>
      </c>
      <c r="AR15" s="23">
        <v>1</v>
      </c>
      <c r="AS15" s="23">
        <v>1</v>
      </c>
      <c r="AT15" s="23">
        <v>1</v>
      </c>
      <c r="AU15" s="23">
        <v>100</v>
      </c>
    </row>
    <row r="16" spans="1:47" ht="10.5">
      <c r="A16" s="23" t="str">
        <f>'Форма 4'!A127</f>
        <v>11.</v>
      </c>
      <c r="B16" s="23">
        <v>1</v>
      </c>
      <c r="C16" s="23">
        <v>1</v>
      </c>
      <c r="D16" s="23">
        <v>1</v>
      </c>
      <c r="E16" s="23">
        <v>1</v>
      </c>
      <c r="F16" s="23">
        <v>1</v>
      </c>
      <c r="G16" s="23">
        <v>1</v>
      </c>
      <c r="H16" s="23">
        <v>1</v>
      </c>
      <c r="I16" s="23">
        <v>1</v>
      </c>
      <c r="J16" s="23">
        <v>1</v>
      </c>
      <c r="K16" s="23">
        <v>0</v>
      </c>
      <c r="L16" s="23">
        <v>0</v>
      </c>
      <c r="M16" s="23">
        <v>100</v>
      </c>
      <c r="N16" s="23">
        <v>0</v>
      </c>
      <c r="O16" s="23">
        <v>0</v>
      </c>
      <c r="P16" s="23">
        <v>1</v>
      </c>
      <c r="Q16" s="23">
        <v>1</v>
      </c>
      <c r="R16" s="23">
        <v>0</v>
      </c>
      <c r="S16" s="23">
        <v>0</v>
      </c>
      <c r="T16" s="23">
        <v>1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1.7</v>
      </c>
      <c r="AH16" s="23">
        <v>1.6</v>
      </c>
      <c r="AI16" s="23">
        <v>1.29</v>
      </c>
      <c r="AJ16" s="23">
        <v>0.092</v>
      </c>
      <c r="AK16" s="23">
        <v>0.18</v>
      </c>
      <c r="AL16" s="23">
        <v>1</v>
      </c>
      <c r="AM16" s="23">
        <v>1</v>
      </c>
      <c r="AN16" s="23">
        <v>0.2</v>
      </c>
      <c r="AO16" s="23">
        <v>1.5</v>
      </c>
      <c r="AP16" s="23">
        <v>1</v>
      </c>
      <c r="AQ16" s="23">
        <v>1</v>
      </c>
      <c r="AR16" s="23">
        <v>1</v>
      </c>
      <c r="AS16" s="23">
        <v>1</v>
      </c>
      <c r="AT16" s="23">
        <v>1</v>
      </c>
      <c r="AU16" s="23">
        <v>100</v>
      </c>
    </row>
    <row r="17" spans="1:47" ht="10.5">
      <c r="A17" s="23" t="str">
        <f>'Форма 4'!A136</f>
        <v>12.</v>
      </c>
      <c r="B17" s="23">
        <v>1</v>
      </c>
      <c r="C17" s="23">
        <v>1</v>
      </c>
      <c r="D17" s="23">
        <v>1</v>
      </c>
      <c r="E17" s="23">
        <v>1</v>
      </c>
      <c r="F17" s="23">
        <v>1</v>
      </c>
      <c r="G17" s="23">
        <v>1</v>
      </c>
      <c r="H17" s="23">
        <v>1</v>
      </c>
      <c r="I17" s="23">
        <v>1</v>
      </c>
      <c r="J17" s="23">
        <v>1</v>
      </c>
      <c r="K17" s="23">
        <v>0</v>
      </c>
      <c r="L17" s="23">
        <v>0</v>
      </c>
      <c r="M17" s="23">
        <v>100</v>
      </c>
      <c r="N17" s="23">
        <v>0</v>
      </c>
      <c r="O17" s="23">
        <v>0</v>
      </c>
      <c r="P17" s="23">
        <v>1</v>
      </c>
      <c r="Q17" s="23">
        <v>1</v>
      </c>
      <c r="R17" s="23">
        <v>0</v>
      </c>
      <c r="S17" s="23">
        <v>0</v>
      </c>
      <c r="T17" s="23">
        <v>1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1.7</v>
      </c>
      <c r="AH17" s="23">
        <v>1.6</v>
      </c>
      <c r="AI17" s="23">
        <v>1.29</v>
      </c>
      <c r="AJ17" s="23">
        <v>0.092</v>
      </c>
      <c r="AK17" s="23">
        <v>0.18</v>
      </c>
      <c r="AL17" s="23">
        <v>1</v>
      </c>
      <c r="AM17" s="23">
        <v>1</v>
      </c>
      <c r="AN17" s="23">
        <v>0.2</v>
      </c>
      <c r="AO17" s="23">
        <v>1.5</v>
      </c>
      <c r="AP17" s="23">
        <v>1</v>
      </c>
      <c r="AQ17" s="23">
        <v>1</v>
      </c>
      <c r="AR17" s="23">
        <v>1</v>
      </c>
      <c r="AS17" s="23">
        <v>1</v>
      </c>
      <c r="AT17" s="23">
        <v>1</v>
      </c>
      <c r="AU17" s="23">
        <v>100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J17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7" customWidth="1"/>
    <col min="2" max="16384" width="9.140625" style="26" customWidth="1"/>
  </cols>
  <sheetData>
    <row r="1" spans="2:10" s="24" customFormat="1" ht="10.5">
      <c r="B1" s="24" t="s">
        <v>209</v>
      </c>
      <c r="C1" s="24" t="s">
        <v>210</v>
      </c>
      <c r="D1" s="24" t="s">
        <v>211</v>
      </c>
      <c r="E1" s="24" t="s">
        <v>212</v>
      </c>
      <c r="F1" s="24" t="s">
        <v>213</v>
      </c>
      <c r="G1" s="24" t="s">
        <v>214</v>
      </c>
      <c r="H1" s="24" t="s">
        <v>215</v>
      </c>
      <c r="I1" s="24" t="s">
        <v>216</v>
      </c>
      <c r="J1" s="24" t="s">
        <v>217</v>
      </c>
    </row>
    <row r="2" spans="1:10" ht="10.5">
      <c r="A2" s="59"/>
      <c r="B2" s="60"/>
      <c r="C2" s="60"/>
      <c r="D2" s="60"/>
      <c r="E2" s="60"/>
      <c r="F2" s="60"/>
      <c r="G2" s="60"/>
      <c r="H2" s="60"/>
      <c r="I2" s="60"/>
      <c r="J2" s="60"/>
    </row>
    <row r="3" spans="1:10" ht="10.5">
      <c r="A3" s="28"/>
      <c r="B3" s="61" t="s">
        <v>161</v>
      </c>
      <c r="C3" s="61"/>
      <c r="D3" s="61"/>
      <c r="E3" s="61"/>
      <c r="F3" s="61"/>
      <c r="G3" s="61"/>
      <c r="H3" s="61"/>
      <c r="I3" s="61"/>
      <c r="J3" s="61"/>
    </row>
    <row r="4" spans="1:10" ht="10.5">
      <c r="A4" s="28"/>
      <c r="B4" s="61" t="s">
        <v>162</v>
      </c>
      <c r="C4" s="61"/>
      <c r="D4" s="61"/>
      <c r="E4" s="61"/>
      <c r="F4" s="61"/>
      <c r="G4" s="61"/>
      <c r="H4" s="61"/>
      <c r="I4" s="61"/>
      <c r="J4" s="61"/>
    </row>
    <row r="5" spans="1:10" ht="10.5">
      <c r="A5" s="59"/>
      <c r="B5" s="60"/>
      <c r="C5" s="60"/>
      <c r="D5" s="60"/>
      <c r="E5" s="60"/>
      <c r="F5" s="60"/>
      <c r="G5" s="60"/>
      <c r="H5" s="60"/>
      <c r="I5" s="60"/>
      <c r="J5" s="60"/>
    </row>
    <row r="6" spans="1:10" ht="10.5">
      <c r="A6" s="27" t="str">
        <f>'Форма 4'!A26</f>
        <v>1.</v>
      </c>
      <c r="B6" s="26" t="s">
        <v>218</v>
      </c>
      <c r="C6" s="26" t="s">
        <v>218</v>
      </c>
      <c r="D6" s="26" t="s">
        <v>219</v>
      </c>
      <c r="E6" s="26" t="s">
        <v>219</v>
      </c>
      <c r="F6" s="26" t="s">
        <v>220</v>
      </c>
      <c r="G6" s="26" t="s">
        <v>219</v>
      </c>
      <c r="H6" s="26" t="s">
        <v>219</v>
      </c>
      <c r="I6" s="26" t="s">
        <v>221</v>
      </c>
      <c r="J6" s="26" t="s">
        <v>219</v>
      </c>
    </row>
    <row r="7" spans="1:10" ht="10.5">
      <c r="A7" s="27" t="str">
        <f>'Форма 4'!A36</f>
        <v>2.</v>
      </c>
      <c r="B7" s="26" t="s">
        <v>218</v>
      </c>
      <c r="C7" s="26" t="s">
        <v>218</v>
      </c>
      <c r="D7" s="26" t="s">
        <v>219</v>
      </c>
      <c r="E7" s="26" t="s">
        <v>219</v>
      </c>
      <c r="F7" s="26" t="s">
        <v>220</v>
      </c>
      <c r="G7" s="26" t="s">
        <v>219</v>
      </c>
      <c r="H7" s="26" t="s">
        <v>219</v>
      </c>
      <c r="I7" s="26" t="s">
        <v>221</v>
      </c>
      <c r="J7" s="26" t="s">
        <v>219</v>
      </c>
    </row>
    <row r="8" spans="1:10" ht="10.5">
      <c r="A8" s="27" t="str">
        <f>'Форма 4'!A46</f>
        <v>3.</v>
      </c>
      <c r="B8" s="26" t="s">
        <v>218</v>
      </c>
      <c r="C8" s="26" t="s">
        <v>218</v>
      </c>
      <c r="D8" s="26" t="s">
        <v>219</v>
      </c>
      <c r="E8" s="26" t="s">
        <v>219</v>
      </c>
      <c r="F8" s="26" t="s">
        <v>222</v>
      </c>
      <c r="G8" s="26" t="s">
        <v>219</v>
      </c>
      <c r="H8" s="26" t="s">
        <v>219</v>
      </c>
      <c r="I8" s="26" t="s">
        <v>220</v>
      </c>
      <c r="J8" s="26" t="s">
        <v>219</v>
      </c>
    </row>
    <row r="9" spans="1:10" ht="10.5">
      <c r="A9" s="27" t="str">
        <f>'Форма 4'!A56</f>
        <v>4.</v>
      </c>
      <c r="B9" s="26" t="s">
        <v>218</v>
      </c>
      <c r="C9" s="26" t="s">
        <v>218</v>
      </c>
      <c r="D9" s="26" t="s">
        <v>219</v>
      </c>
      <c r="E9" s="26" t="s">
        <v>219</v>
      </c>
      <c r="F9" s="26" t="s">
        <v>220</v>
      </c>
      <c r="G9" s="26" t="s">
        <v>219</v>
      </c>
      <c r="H9" s="26" t="s">
        <v>219</v>
      </c>
      <c r="I9" s="26" t="s">
        <v>221</v>
      </c>
      <c r="J9" s="26" t="s">
        <v>219</v>
      </c>
    </row>
    <row r="10" spans="1:10" ht="10.5">
      <c r="A10" s="27" t="str">
        <f>'Форма 4'!A67</f>
        <v>5.</v>
      </c>
      <c r="B10" s="26" t="s">
        <v>218</v>
      </c>
      <c r="C10" s="26" t="s">
        <v>218</v>
      </c>
      <c r="D10" s="26" t="s">
        <v>219</v>
      </c>
      <c r="E10" s="26" t="s">
        <v>219</v>
      </c>
      <c r="F10" s="26" t="s">
        <v>220</v>
      </c>
      <c r="G10" s="26" t="s">
        <v>219</v>
      </c>
      <c r="H10" s="26" t="s">
        <v>219</v>
      </c>
      <c r="I10" s="26" t="s">
        <v>221</v>
      </c>
      <c r="J10" s="26" t="s">
        <v>219</v>
      </c>
    </row>
    <row r="11" spans="1:10" ht="10.5">
      <c r="A11" s="27" t="str">
        <f>'Форма 4'!A78</f>
        <v>6.</v>
      </c>
      <c r="B11" s="26" t="s">
        <v>218</v>
      </c>
      <c r="C11" s="26" t="s">
        <v>218</v>
      </c>
      <c r="D11" s="26" t="s">
        <v>219</v>
      </c>
      <c r="E11" s="26" t="s">
        <v>219</v>
      </c>
      <c r="F11" s="26" t="s">
        <v>222</v>
      </c>
      <c r="G11" s="26" t="s">
        <v>219</v>
      </c>
      <c r="H11" s="26" t="s">
        <v>219</v>
      </c>
      <c r="I11" s="26" t="s">
        <v>220</v>
      </c>
      <c r="J11" s="26" t="s">
        <v>219</v>
      </c>
    </row>
    <row r="12" spans="1:10" ht="10.5">
      <c r="A12" s="27" t="str">
        <f>'Форма 4'!A88</f>
        <v>7.</v>
      </c>
      <c r="B12" s="26" t="s">
        <v>218</v>
      </c>
      <c r="C12" s="26" t="s">
        <v>218</v>
      </c>
      <c r="D12" s="26" t="s">
        <v>219</v>
      </c>
      <c r="E12" s="26" t="s">
        <v>219</v>
      </c>
      <c r="F12" s="26" t="s">
        <v>220</v>
      </c>
      <c r="G12" s="26" t="s">
        <v>219</v>
      </c>
      <c r="H12" s="26" t="s">
        <v>219</v>
      </c>
      <c r="I12" s="26" t="s">
        <v>221</v>
      </c>
      <c r="J12" s="26" t="s">
        <v>219</v>
      </c>
    </row>
    <row r="13" spans="1:10" ht="10.5">
      <c r="A13" s="27" t="str">
        <f>'Форма 4'!A99</f>
        <v>8.</v>
      </c>
      <c r="B13" s="26" t="s">
        <v>218</v>
      </c>
      <c r="C13" s="26" t="s">
        <v>218</v>
      </c>
      <c r="D13" s="26" t="s">
        <v>219</v>
      </c>
      <c r="E13" s="26" t="s">
        <v>219</v>
      </c>
      <c r="F13" s="26" t="s">
        <v>220</v>
      </c>
      <c r="G13" s="26" t="s">
        <v>219</v>
      </c>
      <c r="H13" s="26" t="s">
        <v>219</v>
      </c>
      <c r="I13" s="26" t="s">
        <v>221</v>
      </c>
      <c r="J13" s="26" t="s">
        <v>219</v>
      </c>
    </row>
    <row r="14" spans="1:10" ht="10.5">
      <c r="A14" s="27" t="str">
        <f>'Форма 4'!A109</f>
        <v>9.</v>
      </c>
      <c r="B14" s="26" t="s">
        <v>218</v>
      </c>
      <c r="C14" s="26" t="s">
        <v>218</v>
      </c>
      <c r="D14" s="26" t="s">
        <v>219</v>
      </c>
      <c r="E14" s="26" t="s">
        <v>219</v>
      </c>
      <c r="F14" s="26" t="s">
        <v>220</v>
      </c>
      <c r="G14" s="26" t="s">
        <v>218</v>
      </c>
      <c r="H14" s="26" t="s">
        <v>219</v>
      </c>
      <c r="I14" s="26" t="s">
        <v>221</v>
      </c>
      <c r="J14" s="26" t="s">
        <v>219</v>
      </c>
    </row>
    <row r="15" spans="1:10" ht="10.5">
      <c r="A15" s="27" t="str">
        <f>'Форма 4'!A118</f>
        <v>10.</v>
      </c>
      <c r="B15" s="26" t="s">
        <v>218</v>
      </c>
      <c r="C15" s="26" t="s">
        <v>218</v>
      </c>
      <c r="D15" s="26" t="s">
        <v>219</v>
      </c>
      <c r="E15" s="26" t="s">
        <v>219</v>
      </c>
      <c r="F15" s="26" t="s">
        <v>220</v>
      </c>
      <c r="G15" s="26" t="s">
        <v>219</v>
      </c>
      <c r="H15" s="26" t="s">
        <v>219</v>
      </c>
      <c r="I15" s="26" t="s">
        <v>221</v>
      </c>
      <c r="J15" s="26" t="s">
        <v>219</v>
      </c>
    </row>
    <row r="16" spans="1:10" ht="10.5">
      <c r="A16" s="27" t="str">
        <f>'Форма 4'!A127</f>
        <v>11.</v>
      </c>
      <c r="B16" s="26" t="s">
        <v>218</v>
      </c>
      <c r="C16" s="26" t="s">
        <v>218</v>
      </c>
      <c r="D16" s="26" t="s">
        <v>219</v>
      </c>
      <c r="E16" s="26" t="s">
        <v>219</v>
      </c>
      <c r="F16" s="26" t="s">
        <v>220</v>
      </c>
      <c r="G16" s="26" t="s">
        <v>219</v>
      </c>
      <c r="H16" s="26" t="s">
        <v>219</v>
      </c>
      <c r="I16" s="26" t="s">
        <v>221</v>
      </c>
      <c r="J16" s="26" t="s">
        <v>219</v>
      </c>
    </row>
    <row r="17" spans="1:10" ht="10.5">
      <c r="A17" s="27" t="str">
        <f>'Форма 4'!A136</f>
        <v>12.</v>
      </c>
      <c r="B17" s="26" t="s">
        <v>218</v>
      </c>
      <c r="C17" s="26" t="s">
        <v>218</v>
      </c>
      <c r="D17" s="26" t="s">
        <v>219</v>
      </c>
      <c r="E17" s="26" t="s">
        <v>219</v>
      </c>
      <c r="F17" s="26" t="s">
        <v>220</v>
      </c>
      <c r="G17" s="26" t="s">
        <v>218</v>
      </c>
      <c r="H17" s="26" t="s">
        <v>219</v>
      </c>
      <c r="I17" s="26" t="s">
        <v>221</v>
      </c>
      <c r="J17" s="26" t="s">
        <v>219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2:N89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3" customWidth="1"/>
    <col min="2" max="2" width="44.421875" style="6" customWidth="1"/>
    <col min="3" max="3" width="3.421875" style="26" customWidth="1"/>
    <col min="4" max="4" width="6.00390625" style="29" customWidth="1"/>
    <col min="5" max="5" width="6.00390625" style="6" customWidth="1"/>
    <col min="6" max="9" width="12.7109375" style="29" customWidth="1"/>
    <col min="10" max="11" width="18.7109375" style="29" customWidth="1"/>
    <col min="12" max="12" width="12.7109375" style="29" customWidth="1"/>
    <col min="13" max="13" width="9.140625" style="29" customWidth="1"/>
    <col min="14" max="14" width="3.421875" style="26" hidden="1" customWidth="1"/>
    <col min="15" max="16384" width="9.140625" style="29" customWidth="1"/>
  </cols>
  <sheetData>
    <row r="2" spans="1:14" ht="10.5">
      <c r="A2" s="56"/>
      <c r="B2" s="62"/>
      <c r="C2" s="62"/>
      <c r="D2" s="63"/>
      <c r="E2" s="62"/>
      <c r="F2" s="63"/>
      <c r="G2" s="63"/>
      <c r="H2" s="63"/>
      <c r="I2" s="63"/>
      <c r="J2" s="63"/>
      <c r="N2" s="29"/>
    </row>
    <row r="3" spans="1:14" ht="10.5">
      <c r="A3" s="25"/>
      <c r="B3" s="58" t="s">
        <v>161</v>
      </c>
      <c r="C3" s="58"/>
      <c r="D3" s="58"/>
      <c r="E3" s="58"/>
      <c r="F3" s="58"/>
      <c r="G3" s="58"/>
      <c r="H3" s="58"/>
      <c r="I3" s="58"/>
      <c r="J3" s="58"/>
      <c r="N3" s="29"/>
    </row>
    <row r="4" spans="1:14" ht="10.5">
      <c r="A4" s="25"/>
      <c r="B4" s="58" t="s">
        <v>162</v>
      </c>
      <c r="C4" s="58"/>
      <c r="D4" s="58"/>
      <c r="E4" s="58"/>
      <c r="F4" s="58"/>
      <c r="G4" s="58"/>
      <c r="H4" s="58"/>
      <c r="I4" s="58"/>
      <c r="J4" s="58"/>
      <c r="N4" s="29"/>
    </row>
    <row r="5" spans="1:14" ht="10.5">
      <c r="A5" s="56"/>
      <c r="B5" s="62"/>
      <c r="C5" s="62"/>
      <c r="D5" s="63"/>
      <c r="E5" s="62"/>
      <c r="F5" s="63"/>
      <c r="G5" s="63"/>
      <c r="H5" s="63"/>
      <c r="I5" s="63"/>
      <c r="J5" s="63"/>
      <c r="N5" s="29"/>
    </row>
    <row r="6" spans="1:13" s="24" customFormat="1" ht="10.5">
      <c r="A6" s="7"/>
      <c r="B6" s="24" t="s">
        <v>223</v>
      </c>
      <c r="C6" s="24" t="s">
        <v>224</v>
      </c>
      <c r="D6" s="30" t="s">
        <v>225</v>
      </c>
      <c r="E6" s="24" t="s">
        <v>226</v>
      </c>
      <c r="F6" s="24" t="s">
        <v>227</v>
      </c>
      <c r="G6" s="24" t="s">
        <v>228</v>
      </c>
      <c r="H6" s="24" t="s">
        <v>229</v>
      </c>
      <c r="I6" s="24" t="s">
        <v>230</v>
      </c>
      <c r="J6" s="24" t="s">
        <v>231</v>
      </c>
      <c r="K6" s="24" t="s">
        <v>232</v>
      </c>
      <c r="L6" s="24" t="s">
        <v>233</v>
      </c>
      <c r="M6" s="24" t="s">
        <v>234</v>
      </c>
    </row>
    <row r="7" spans="1:14" ht="10.5">
      <c r="A7" s="23">
        <v>1</v>
      </c>
      <c r="B7" s="6" t="s">
        <v>74</v>
      </c>
      <c r="C7" s="26" t="s">
        <v>235</v>
      </c>
      <c r="D7" s="29">
        <v>0</v>
      </c>
      <c r="E7" s="29"/>
      <c r="F7" s="22">
        <f>ROUND(SUM('Базовые цены с учетом расхода'!B6:B17),2)</f>
        <v>847.12</v>
      </c>
      <c r="G7" s="22">
        <f>ROUND(SUM('Базовые цены с учетом расхода'!C6:C17),2)</f>
        <v>150.05</v>
      </c>
      <c r="H7" s="22">
        <f>ROUND(SUM('Базовые цены с учетом расхода'!D6:D17),2)</f>
        <v>21.33</v>
      </c>
      <c r="I7" s="22">
        <f>ROUND(SUM('Базовые цены с учетом расхода'!E6:E17),2)</f>
        <v>0.05</v>
      </c>
      <c r="J7" s="31" t="e">
        <f>ROUND(SUM('Базовые цены с учетом расхода'!I6:I17),8)</f>
        <v>#NAME?</v>
      </c>
      <c r="K7" s="31" t="e">
        <f>ROUND(SUM('Базовые цены с учетом расхода'!K6:K17),8)</f>
        <v>#NAME?</v>
      </c>
      <c r="L7" s="22">
        <f>ROUND(SUM('Базовые цены с учетом расхода'!F6:F17),2)</f>
        <v>675.74</v>
      </c>
      <c r="N7" s="26" t="s">
        <v>218</v>
      </c>
    </row>
    <row r="8" spans="1:14" ht="10.5">
      <c r="A8" s="23">
        <v>2</v>
      </c>
      <c r="B8" s="6" t="s">
        <v>75</v>
      </c>
      <c r="C8" s="26" t="s">
        <v>236</v>
      </c>
      <c r="D8" s="29">
        <v>0</v>
      </c>
      <c r="F8" s="22">
        <f>ROUND(SUMIF(Определители!I6:I17,"= ",'Базовые цены с учетом расхода'!B6:B17),2)</f>
        <v>0</v>
      </c>
      <c r="G8" s="22">
        <f>ROUND(SUMIF(Определители!I6:I17,"= ",'Базовые цены с учетом расхода'!C6:C17),2)</f>
        <v>0</v>
      </c>
      <c r="H8" s="22">
        <f>ROUND(SUMIF(Определители!I6:I17,"= ",'Базовые цены с учетом расхода'!D6:D17),2)</f>
        <v>0</v>
      </c>
      <c r="I8" s="22">
        <f>ROUND(SUMIF(Определители!I6:I17,"= ",'Базовые цены с учетом расхода'!E6:E17),2)</f>
        <v>0</v>
      </c>
      <c r="J8" s="31">
        <f>ROUND(SUMIF(Определители!I6:I17,"= ",'Базовые цены с учетом расхода'!I6:I17),8)</f>
        <v>0</v>
      </c>
      <c r="K8" s="31">
        <f>ROUND(SUMIF(Определители!I6:I17,"= ",'Базовые цены с учетом расхода'!K6:K17),8)</f>
        <v>0</v>
      </c>
      <c r="L8" s="22">
        <f>ROUND(SUMIF(Определители!I6:I17,"= ",'Базовые цены с учетом расхода'!F6:F17),2)</f>
        <v>0</v>
      </c>
      <c r="N8" s="26" t="s">
        <v>220</v>
      </c>
    </row>
    <row r="9" spans="1:14" ht="10.5">
      <c r="A9" s="23">
        <v>3</v>
      </c>
      <c r="B9" s="6" t="s">
        <v>76</v>
      </c>
      <c r="C9" s="26" t="s">
        <v>236</v>
      </c>
      <c r="D9" s="29">
        <v>0</v>
      </c>
      <c r="F9" s="22" t="e">
        <f>ROUND(СУММПРОИЗВЕСЛИ(0.01,Определители!I6:I17," ",'Базовые цены с учетом расхода'!B6:B17,Начисления!X6:X17,0),2)</f>
        <v>#NAME?</v>
      </c>
      <c r="G9" s="22"/>
      <c r="H9" s="22"/>
      <c r="I9" s="22"/>
      <c r="J9" s="31"/>
      <c r="K9" s="31"/>
      <c r="L9" s="22"/>
      <c r="N9" s="26" t="s">
        <v>237</v>
      </c>
    </row>
    <row r="10" spans="1:14" ht="10.5">
      <c r="A10" s="23">
        <v>4</v>
      </c>
      <c r="B10" s="6" t="s">
        <v>77</v>
      </c>
      <c r="C10" s="26" t="s">
        <v>236</v>
      </c>
      <c r="D10" s="29">
        <v>0</v>
      </c>
      <c r="F10" s="22" t="e">
        <f>ROUND(СУММПРОИЗВЕСЛИ(0.01,Определители!I6:I17," ",'Базовые цены с учетом расхода'!B6:B17,Начисления!Y6:Y17,0),2)</f>
        <v>#NAME?</v>
      </c>
      <c r="G10" s="22"/>
      <c r="H10" s="22"/>
      <c r="I10" s="22"/>
      <c r="J10" s="31"/>
      <c r="K10" s="31"/>
      <c r="L10" s="22"/>
      <c r="N10" s="26" t="s">
        <v>221</v>
      </c>
    </row>
    <row r="11" spans="1:14" ht="10.5">
      <c r="A11" s="23">
        <v>5</v>
      </c>
      <c r="B11" s="6" t="s">
        <v>78</v>
      </c>
      <c r="C11" s="26" t="s">
        <v>236</v>
      </c>
      <c r="D11" s="29">
        <v>0</v>
      </c>
      <c r="F11" s="22" t="e">
        <f>ROUND(ТРАНСПРАСХОД(Определители!B6:B17,Определители!H6:H17,Определители!I6:I17,'Базовые цены с учетом расхода'!B6:B17,Начисления!Z6:Z17,Начисления!AA6:AA17),2)</f>
        <v>#NAME?</v>
      </c>
      <c r="G11" s="22"/>
      <c r="H11" s="22"/>
      <c r="I11" s="22"/>
      <c r="J11" s="31"/>
      <c r="K11" s="31"/>
      <c r="L11" s="22"/>
      <c r="N11" s="26" t="s">
        <v>238</v>
      </c>
    </row>
    <row r="12" spans="1:14" ht="10.5">
      <c r="A12" s="23">
        <v>6</v>
      </c>
      <c r="B12" s="6" t="s">
        <v>79</v>
      </c>
      <c r="C12" s="26" t="s">
        <v>236</v>
      </c>
      <c r="D12" s="29">
        <v>0</v>
      </c>
      <c r="F12" s="22" t="e">
        <f>ROUND(СУММПРОИЗВЕСЛИ(0.01,Определители!I6:I17," ",'Базовые цены с учетом расхода'!B6:B17,Начисления!AC6:AC17,0),2)</f>
        <v>#NAME?</v>
      </c>
      <c r="G12" s="22"/>
      <c r="H12" s="22"/>
      <c r="I12" s="22"/>
      <c r="J12" s="31"/>
      <c r="K12" s="31"/>
      <c r="L12" s="22"/>
      <c r="N12" s="26" t="s">
        <v>239</v>
      </c>
    </row>
    <row r="13" spans="1:14" ht="10.5">
      <c r="A13" s="23">
        <v>7</v>
      </c>
      <c r="B13" s="6" t="s">
        <v>80</v>
      </c>
      <c r="C13" s="26" t="s">
        <v>236</v>
      </c>
      <c r="D13" s="29">
        <v>0</v>
      </c>
      <c r="F13" s="22" t="e">
        <f>ROUND(СУММПРОИЗВЕСЛИ(0.01,Определители!I6:I17," ",'Базовые цены с учетом расхода'!B6:B17,Начисления!AF6:AF17,0),2)</f>
        <v>#NAME?</v>
      </c>
      <c r="G13" s="22"/>
      <c r="H13" s="22"/>
      <c r="I13" s="22"/>
      <c r="J13" s="31"/>
      <c r="K13" s="31"/>
      <c r="L13" s="22"/>
      <c r="N13" s="26" t="s">
        <v>240</v>
      </c>
    </row>
    <row r="14" spans="1:14" ht="10.5">
      <c r="A14" s="23">
        <v>8</v>
      </c>
      <c r="B14" s="6" t="s">
        <v>81</v>
      </c>
      <c r="C14" s="26" t="s">
        <v>236</v>
      </c>
      <c r="D14" s="29">
        <v>0</v>
      </c>
      <c r="F14" s="22" t="e">
        <f>ROUND(ЗАГОТСКЛАДРАСХОД(Определители!B6:B17,Определители!H6:H17,Определители!I6:I17,'Базовые цены с учетом расхода'!B6:B17,Начисления!X6:X17,Начисления!Y6:Y17,Начисления!Z6:Z17,Начисления!AA6:AA17,Начисления!AB6:AB17,Начисления!AC6:AC17,Начисления!AF6:AF17),2)</f>
        <v>#NAME?</v>
      </c>
      <c r="G14" s="22"/>
      <c r="H14" s="22"/>
      <c r="I14" s="22"/>
      <c r="J14" s="31"/>
      <c r="K14" s="31"/>
      <c r="L14" s="22"/>
      <c r="N14" s="26" t="s">
        <v>241</v>
      </c>
    </row>
    <row r="15" spans="1:14" ht="10.5">
      <c r="A15" s="23">
        <v>9</v>
      </c>
      <c r="B15" s="6" t="s">
        <v>82</v>
      </c>
      <c r="C15" s="26" t="s">
        <v>236</v>
      </c>
      <c r="D15" s="29">
        <v>0</v>
      </c>
      <c r="F15" s="22" t="e">
        <f>ROUND(СУММПРОИЗВЕСЛИ(1,Определители!I6:I17," ",'Базовые цены с учетом расхода'!M6:M17,Начисления!I6:I17,0),2)</f>
        <v>#NAME?</v>
      </c>
      <c r="G15" s="22"/>
      <c r="H15" s="22"/>
      <c r="I15" s="22"/>
      <c r="J15" s="31"/>
      <c r="K15" s="31"/>
      <c r="L15" s="22"/>
      <c r="N15" s="26" t="s">
        <v>242</v>
      </c>
    </row>
    <row r="16" spans="1:14" ht="10.5">
      <c r="A16" s="23">
        <v>10</v>
      </c>
      <c r="B16" s="6" t="s">
        <v>83</v>
      </c>
      <c r="C16" s="26" t="s">
        <v>243</v>
      </c>
      <c r="D16" s="29">
        <v>0</v>
      </c>
      <c r="F16" s="22" t="e">
        <f>ROUND((F15+F26+F46),2)</f>
        <v>#NAME?</v>
      </c>
      <c r="G16" s="22"/>
      <c r="H16" s="22"/>
      <c r="I16" s="22"/>
      <c r="J16" s="31"/>
      <c r="K16" s="31"/>
      <c r="L16" s="22"/>
      <c r="N16" s="26" t="s">
        <v>244</v>
      </c>
    </row>
    <row r="17" spans="1:14" ht="10.5">
      <c r="A17" s="23">
        <v>11</v>
      </c>
      <c r="B17" s="6" t="s">
        <v>84</v>
      </c>
      <c r="C17" s="26" t="s">
        <v>243</v>
      </c>
      <c r="D17" s="29">
        <v>0</v>
      </c>
      <c r="F17" s="22" t="e">
        <f>ROUND((F8+F9+F10+F11+F12+F13+F14+F16),2)</f>
        <v>#NAME?</v>
      </c>
      <c r="G17" s="22"/>
      <c r="H17" s="22"/>
      <c r="I17" s="22"/>
      <c r="J17" s="31"/>
      <c r="K17" s="31"/>
      <c r="L17" s="22"/>
      <c r="N17" s="26" t="s">
        <v>245</v>
      </c>
    </row>
    <row r="18" spans="1:14" ht="10.5">
      <c r="A18" s="23">
        <v>12</v>
      </c>
      <c r="B18" s="6" t="s">
        <v>85</v>
      </c>
      <c r="C18" s="26" t="s">
        <v>236</v>
      </c>
      <c r="D18" s="29">
        <v>0</v>
      </c>
      <c r="F18" s="22">
        <f>ROUND(SUMIF(Определители!I6:I17,"=1",'Базовые цены с учетом расхода'!B6:B17),2)</f>
        <v>0</v>
      </c>
      <c r="G18" s="22">
        <f>ROUND(SUMIF(Определители!I6:I17,"=1",'Базовые цены с учетом расхода'!C6:C17),2)</f>
        <v>0</v>
      </c>
      <c r="H18" s="22">
        <f>ROUND(SUMIF(Определители!I6:I17,"=1",'Базовые цены с учетом расхода'!D6:D17),2)</f>
        <v>0</v>
      </c>
      <c r="I18" s="22">
        <f>ROUND(SUMIF(Определители!I6:I17,"=1",'Базовые цены с учетом расхода'!E6:E17),2)</f>
        <v>0</v>
      </c>
      <c r="J18" s="31">
        <f>ROUND(SUMIF(Определители!I6:I17,"=1",'Базовые цены с учетом расхода'!I6:I17),8)</f>
        <v>0</v>
      </c>
      <c r="K18" s="31">
        <f>ROUND(SUMIF(Определители!I6:I17,"=1",'Базовые цены с учетом расхода'!K6:K17),8)</f>
        <v>0</v>
      </c>
      <c r="L18" s="22">
        <f>ROUND(SUMIF(Определители!I6:I17,"=1",'Базовые цены с учетом расхода'!F6:F17),2)</f>
        <v>0</v>
      </c>
      <c r="N18" s="26" t="s">
        <v>246</v>
      </c>
    </row>
    <row r="19" spans="1:14" ht="10.5">
      <c r="A19" s="23">
        <v>13</v>
      </c>
      <c r="B19" s="6" t="s">
        <v>86</v>
      </c>
      <c r="C19" s="26" t="s">
        <v>236</v>
      </c>
      <c r="D19" s="29">
        <v>0</v>
      </c>
      <c r="F19" s="22"/>
      <c r="G19" s="22"/>
      <c r="H19" s="22"/>
      <c r="I19" s="22"/>
      <c r="J19" s="31"/>
      <c r="K19" s="31"/>
      <c r="L19" s="22"/>
      <c r="N19" s="26" t="s">
        <v>247</v>
      </c>
    </row>
    <row r="20" spans="1:14" ht="10.5">
      <c r="A20" s="23">
        <v>14</v>
      </c>
      <c r="B20" s="6" t="s">
        <v>87</v>
      </c>
      <c r="C20" s="26" t="s">
        <v>236</v>
      </c>
      <c r="D20" s="29">
        <v>0</v>
      </c>
      <c r="F20" s="22"/>
      <c r="G20" s="22">
        <f>ROUND(SUMIF(Определители!I6:I17,"=1",'Базовые цены с учетом расхода'!U6:U17),2)</f>
        <v>0</v>
      </c>
      <c r="H20" s="22"/>
      <c r="I20" s="22"/>
      <c r="J20" s="31"/>
      <c r="K20" s="31"/>
      <c r="L20" s="22"/>
      <c r="N20" s="26" t="s">
        <v>248</v>
      </c>
    </row>
    <row r="21" spans="1:14" ht="10.5">
      <c r="A21" s="23">
        <v>15</v>
      </c>
      <c r="B21" s="6" t="s">
        <v>88</v>
      </c>
      <c r="C21" s="26" t="s">
        <v>236</v>
      </c>
      <c r="D21" s="29">
        <v>0</v>
      </c>
      <c r="F21" s="22">
        <f>ROUND(SUMIF(Определители!I6:I17,"=1",'Базовые цены с учетом расхода'!V6:V17),2)</f>
        <v>0</v>
      </c>
      <c r="G21" s="22"/>
      <c r="H21" s="22"/>
      <c r="I21" s="22"/>
      <c r="J21" s="31"/>
      <c r="K21" s="31"/>
      <c r="L21" s="22"/>
      <c r="N21" s="26" t="s">
        <v>249</v>
      </c>
    </row>
    <row r="22" spans="1:14" ht="10.5">
      <c r="A22" s="23">
        <v>16</v>
      </c>
      <c r="B22" s="6" t="s">
        <v>89</v>
      </c>
      <c r="C22" s="26" t="s">
        <v>236</v>
      </c>
      <c r="D22" s="29">
        <v>0</v>
      </c>
      <c r="F22" s="22" t="e">
        <f>ROUND(СУММЕСЛИ2(Определители!I6:I17,"1",Определители!G6:G17,"1",'Базовые цены с учетом расхода'!B6:B17),2)</f>
        <v>#NAME?</v>
      </c>
      <c r="G22" s="22"/>
      <c r="H22" s="22"/>
      <c r="I22" s="22"/>
      <c r="J22" s="31"/>
      <c r="K22" s="31"/>
      <c r="L22" s="22"/>
      <c r="N22" s="26" t="s">
        <v>250</v>
      </c>
    </row>
    <row r="23" spans="1:14" ht="10.5">
      <c r="A23" s="23">
        <v>17</v>
      </c>
      <c r="B23" s="6" t="s">
        <v>90</v>
      </c>
      <c r="C23" s="26" t="s">
        <v>236</v>
      </c>
      <c r="D23" s="29">
        <v>0</v>
      </c>
      <c r="F23" s="22">
        <f>ROUND(SUMIF(Определители!I6:I17,"=1",'Базовые цены с учетом расхода'!H6:H17),2)</f>
        <v>0</v>
      </c>
      <c r="G23" s="22"/>
      <c r="H23" s="22"/>
      <c r="I23" s="22"/>
      <c r="J23" s="31"/>
      <c r="K23" s="31"/>
      <c r="L23" s="22"/>
      <c r="N23" s="26" t="s">
        <v>251</v>
      </c>
    </row>
    <row r="24" spans="1:14" ht="10.5">
      <c r="A24" s="23">
        <v>18</v>
      </c>
      <c r="B24" s="6" t="s">
        <v>91</v>
      </c>
      <c r="C24" s="26" t="s">
        <v>236</v>
      </c>
      <c r="D24" s="29">
        <v>0</v>
      </c>
      <c r="F24" s="22">
        <f>ROUND(SUMIF(Определители!I6:I17,"=1",'Базовые цены с учетом расхода'!N6:N17),2)</f>
        <v>0</v>
      </c>
      <c r="G24" s="22"/>
      <c r="H24" s="22"/>
      <c r="I24" s="22"/>
      <c r="J24" s="31"/>
      <c r="K24" s="31"/>
      <c r="L24" s="22"/>
      <c r="N24" s="26" t="s">
        <v>252</v>
      </c>
    </row>
    <row r="25" spans="1:14" ht="10.5">
      <c r="A25" s="23">
        <v>19</v>
      </c>
      <c r="B25" s="6" t="s">
        <v>92</v>
      </c>
      <c r="C25" s="26" t="s">
        <v>236</v>
      </c>
      <c r="D25" s="29">
        <v>0</v>
      </c>
      <c r="F25" s="22">
        <f>ROUND(SUMIF(Определители!I6:I17,"=1",'Базовые цены с учетом расхода'!O6:O17),2)</f>
        <v>0</v>
      </c>
      <c r="G25" s="22"/>
      <c r="H25" s="22"/>
      <c r="I25" s="22"/>
      <c r="J25" s="31"/>
      <c r="K25" s="31"/>
      <c r="L25" s="22"/>
      <c r="N25" s="26" t="s">
        <v>253</v>
      </c>
    </row>
    <row r="26" spans="1:14" ht="10.5">
      <c r="A26" s="23">
        <v>20</v>
      </c>
      <c r="B26" s="6" t="s">
        <v>83</v>
      </c>
      <c r="C26" s="26" t="s">
        <v>236</v>
      </c>
      <c r="D26" s="29">
        <v>0</v>
      </c>
      <c r="F26" s="22" t="e">
        <f>ROUND(СУММПРОИЗВЕСЛИ(1,Определители!I6:I17," ",'Базовые цены с учетом расхода'!M6:M17,Начисления!I6:I17,0),2)</f>
        <v>#NAME?</v>
      </c>
      <c r="G26" s="22"/>
      <c r="H26" s="22"/>
      <c r="I26" s="22"/>
      <c r="J26" s="31"/>
      <c r="K26" s="31"/>
      <c r="L26" s="22"/>
      <c r="N26" s="26" t="s">
        <v>254</v>
      </c>
    </row>
    <row r="27" spans="1:14" ht="10.5">
      <c r="A27" s="23">
        <v>21</v>
      </c>
      <c r="B27" s="6" t="s">
        <v>93</v>
      </c>
      <c r="C27" s="26" t="s">
        <v>243</v>
      </c>
      <c r="D27" s="29">
        <v>0</v>
      </c>
      <c r="F27" s="22">
        <f>ROUND((F18+F24+F25),2)</f>
        <v>0</v>
      </c>
      <c r="G27" s="22"/>
      <c r="H27" s="22"/>
      <c r="I27" s="22"/>
      <c r="J27" s="31"/>
      <c r="K27" s="31"/>
      <c r="L27" s="22"/>
      <c r="N27" s="26" t="s">
        <v>255</v>
      </c>
    </row>
    <row r="28" spans="1:14" ht="10.5">
      <c r="A28" s="23">
        <v>22</v>
      </c>
      <c r="B28" s="6" t="s">
        <v>94</v>
      </c>
      <c r="C28" s="26" t="s">
        <v>236</v>
      </c>
      <c r="D28" s="29">
        <v>0</v>
      </c>
      <c r="F28" s="22">
        <f>ROUND(SUMIF(Определители!I6:I17,"=2",'Базовые цены с учетом расхода'!B6:B17),2)</f>
        <v>192.43</v>
      </c>
      <c r="G28" s="22">
        <f>ROUND(SUMIF(Определители!I6:I17,"=2",'Базовые цены с учетом расхода'!C6:C17),2)</f>
        <v>0</v>
      </c>
      <c r="H28" s="22">
        <f>ROUND(SUMIF(Определители!I6:I17,"=2",'Базовые цены с учетом расхода'!D6:D17),2)</f>
        <v>0</v>
      </c>
      <c r="I28" s="22">
        <f>ROUND(SUMIF(Определители!I6:I17,"=2",'Базовые цены с учетом расхода'!E6:E17),2)</f>
        <v>0</v>
      </c>
      <c r="J28" s="31" t="e">
        <f>ROUND(SUMIF(Определители!I6:I17,"=2",'Базовые цены с учетом расхода'!I6:I17),8)</f>
        <v>#NAME?</v>
      </c>
      <c r="K28" s="31" t="e">
        <f>ROUND(SUMIF(Определители!I6:I17,"=2",'Базовые цены с учетом расхода'!K6:K17),8)</f>
        <v>#NAME?</v>
      </c>
      <c r="L28" s="22">
        <f>ROUND(SUMIF(Определители!I6:I17,"=2",'Базовые цены с учетом расхода'!F6:F17),2)</f>
        <v>192.43</v>
      </c>
      <c r="N28" s="26" t="s">
        <v>256</v>
      </c>
    </row>
    <row r="29" spans="1:14" ht="10.5">
      <c r="A29" s="23">
        <v>23</v>
      </c>
      <c r="B29" s="6" t="s">
        <v>86</v>
      </c>
      <c r="C29" s="26" t="s">
        <v>236</v>
      </c>
      <c r="D29" s="29">
        <v>0</v>
      </c>
      <c r="F29" s="22"/>
      <c r="G29" s="22"/>
      <c r="H29" s="22"/>
      <c r="I29" s="22"/>
      <c r="J29" s="31"/>
      <c r="K29" s="31"/>
      <c r="L29" s="22"/>
      <c r="N29" s="26" t="s">
        <v>257</v>
      </c>
    </row>
    <row r="30" spans="1:14" ht="10.5">
      <c r="A30" s="23">
        <v>24</v>
      </c>
      <c r="B30" s="6" t="s">
        <v>95</v>
      </c>
      <c r="C30" s="26" t="s">
        <v>236</v>
      </c>
      <c r="D30" s="29">
        <v>0</v>
      </c>
      <c r="F30" s="22">
        <f>ROUND(SUMIF(Определители!G6:G17,"=1",'Базовые цены с учетом расхода'!F6:F17),2)</f>
        <v>104.1</v>
      </c>
      <c r="G30" s="22"/>
      <c r="H30" s="22"/>
      <c r="I30" s="22"/>
      <c r="J30" s="31"/>
      <c r="K30" s="31"/>
      <c r="L30" s="22"/>
      <c r="N30" s="26" t="s">
        <v>258</v>
      </c>
    </row>
    <row r="31" spans="1:14" ht="10.5">
      <c r="A31" s="23">
        <v>25</v>
      </c>
      <c r="B31" s="6" t="s">
        <v>90</v>
      </c>
      <c r="C31" s="26" t="s">
        <v>236</v>
      </c>
      <c r="D31" s="29">
        <v>0</v>
      </c>
      <c r="F31" s="22">
        <f>ROUND(SUMIF(Определители!I6:I17,"=2",'Базовые цены с учетом расхода'!H6:H17),2)</f>
        <v>0</v>
      </c>
      <c r="G31" s="22"/>
      <c r="H31" s="22"/>
      <c r="I31" s="22"/>
      <c r="J31" s="31"/>
      <c r="K31" s="31"/>
      <c r="L31" s="22"/>
      <c r="N31" s="26" t="s">
        <v>259</v>
      </c>
    </row>
    <row r="32" spans="1:14" ht="10.5">
      <c r="A32" s="23">
        <v>26</v>
      </c>
      <c r="B32" s="6" t="s">
        <v>91</v>
      </c>
      <c r="C32" s="26" t="s">
        <v>236</v>
      </c>
      <c r="D32" s="29">
        <v>0</v>
      </c>
      <c r="F32" s="22">
        <f>ROUND(SUMIF(Определители!I6:I17,"=2",'Базовые цены с учетом расхода'!N6:N17),2)</f>
        <v>0</v>
      </c>
      <c r="G32" s="22"/>
      <c r="H32" s="22"/>
      <c r="I32" s="22"/>
      <c r="J32" s="31"/>
      <c r="K32" s="31"/>
      <c r="L32" s="22"/>
      <c r="N32" s="26" t="s">
        <v>260</v>
      </c>
    </row>
    <row r="33" spans="1:14" ht="10.5">
      <c r="A33" s="23">
        <v>27</v>
      </c>
      <c r="B33" s="6" t="s">
        <v>92</v>
      </c>
      <c r="C33" s="26" t="s">
        <v>236</v>
      </c>
      <c r="D33" s="29">
        <v>0</v>
      </c>
      <c r="F33" s="22">
        <f>ROUND(SUMIF(Определители!I6:I17,"=2",'Базовые цены с учетом расхода'!O6:O17),2)</f>
        <v>0</v>
      </c>
      <c r="G33" s="22"/>
      <c r="H33" s="22"/>
      <c r="I33" s="22"/>
      <c r="J33" s="31"/>
      <c r="K33" s="31"/>
      <c r="L33" s="22"/>
      <c r="N33" s="26" t="s">
        <v>261</v>
      </c>
    </row>
    <row r="34" spans="1:14" ht="10.5">
      <c r="A34" s="23">
        <v>28</v>
      </c>
      <c r="B34" s="6" t="s">
        <v>96</v>
      </c>
      <c r="C34" s="26" t="s">
        <v>243</v>
      </c>
      <c r="D34" s="29">
        <v>0</v>
      </c>
      <c r="F34" s="22">
        <f>ROUND((F28+F32+F33),2)</f>
        <v>192.43</v>
      </c>
      <c r="G34" s="22"/>
      <c r="H34" s="22"/>
      <c r="I34" s="22"/>
      <c r="J34" s="31"/>
      <c r="K34" s="31"/>
      <c r="L34" s="22"/>
      <c r="N34" s="26" t="s">
        <v>262</v>
      </c>
    </row>
    <row r="35" spans="1:14" ht="10.5">
      <c r="A35" s="23">
        <v>29</v>
      </c>
      <c r="B35" s="6" t="s">
        <v>97</v>
      </c>
      <c r="C35" s="26" t="s">
        <v>236</v>
      </c>
      <c r="D35" s="29">
        <v>0</v>
      </c>
      <c r="F35" s="22">
        <f>ROUND(SUMIF(Определители!I6:I17,"=3",'Базовые цены с учетом расхода'!B6:B17),2)</f>
        <v>0</v>
      </c>
      <c r="G35" s="22">
        <f>ROUND(SUMIF(Определители!I6:I17,"=3",'Базовые цены с учетом расхода'!C6:C17),2)</f>
        <v>0</v>
      </c>
      <c r="H35" s="22">
        <f>ROUND(SUMIF(Определители!I6:I17,"=3",'Базовые цены с учетом расхода'!D6:D17),2)</f>
        <v>0</v>
      </c>
      <c r="I35" s="22">
        <f>ROUND(SUMIF(Определители!I6:I17,"=3",'Базовые цены с учетом расхода'!E6:E17),2)</f>
        <v>0</v>
      </c>
      <c r="J35" s="31">
        <f>ROUND(SUMIF(Определители!I6:I17,"=3",'Базовые цены с учетом расхода'!I6:I17),8)</f>
        <v>0</v>
      </c>
      <c r="K35" s="31">
        <f>ROUND(SUMIF(Определители!I6:I17,"=3",'Базовые цены с учетом расхода'!K6:K17),8)</f>
        <v>0</v>
      </c>
      <c r="L35" s="22">
        <f>ROUND(SUMIF(Определители!I6:I17,"=3",'Базовые цены с учетом расхода'!F6:F17),2)</f>
        <v>0</v>
      </c>
      <c r="N35" s="26" t="s">
        <v>263</v>
      </c>
    </row>
    <row r="36" spans="1:14" ht="10.5">
      <c r="A36" s="23">
        <v>30</v>
      </c>
      <c r="B36" s="6" t="s">
        <v>90</v>
      </c>
      <c r="C36" s="26" t="s">
        <v>236</v>
      </c>
      <c r="D36" s="29">
        <v>0</v>
      </c>
      <c r="F36" s="22">
        <f>ROUND(SUMIF(Определители!I6:I17,"=3",'Базовые цены с учетом расхода'!H6:H17),2)</f>
        <v>0</v>
      </c>
      <c r="G36" s="22"/>
      <c r="H36" s="22"/>
      <c r="I36" s="22"/>
      <c r="J36" s="31"/>
      <c r="K36" s="31"/>
      <c r="L36" s="22"/>
      <c r="N36" s="26" t="s">
        <v>264</v>
      </c>
    </row>
    <row r="37" spans="1:14" ht="10.5">
      <c r="A37" s="23">
        <v>31</v>
      </c>
      <c r="B37" s="6" t="s">
        <v>91</v>
      </c>
      <c r="C37" s="26" t="s">
        <v>236</v>
      </c>
      <c r="D37" s="29">
        <v>0</v>
      </c>
      <c r="F37" s="22">
        <f>ROUND(SUMIF(Определители!I6:I17,"=3",'Базовые цены с учетом расхода'!N6:N17),2)</f>
        <v>0</v>
      </c>
      <c r="G37" s="22"/>
      <c r="H37" s="22"/>
      <c r="I37" s="22"/>
      <c r="J37" s="31"/>
      <c r="K37" s="31"/>
      <c r="L37" s="22"/>
      <c r="N37" s="26" t="s">
        <v>265</v>
      </c>
    </row>
    <row r="38" spans="1:14" ht="10.5">
      <c r="A38" s="23">
        <v>32</v>
      </c>
      <c r="B38" s="6" t="s">
        <v>92</v>
      </c>
      <c r="C38" s="26" t="s">
        <v>236</v>
      </c>
      <c r="D38" s="29">
        <v>0</v>
      </c>
      <c r="F38" s="22">
        <f>ROUND(SUMIF(Определители!I6:I17,"=3",'Базовые цены с учетом расхода'!O6:O17),2)</f>
        <v>0</v>
      </c>
      <c r="G38" s="22"/>
      <c r="H38" s="22"/>
      <c r="I38" s="22"/>
      <c r="J38" s="31"/>
      <c r="K38" s="31"/>
      <c r="L38" s="22"/>
      <c r="N38" s="26" t="s">
        <v>266</v>
      </c>
    </row>
    <row r="39" spans="1:14" ht="10.5">
      <c r="A39" s="23">
        <v>33</v>
      </c>
      <c r="B39" s="6" t="s">
        <v>98</v>
      </c>
      <c r="C39" s="26" t="s">
        <v>243</v>
      </c>
      <c r="D39" s="29">
        <v>0</v>
      </c>
      <c r="F39" s="22">
        <f>ROUND((F35+F37+F38),2)</f>
        <v>0</v>
      </c>
      <c r="G39" s="22"/>
      <c r="H39" s="22"/>
      <c r="I39" s="22"/>
      <c r="J39" s="31"/>
      <c r="K39" s="31"/>
      <c r="L39" s="22"/>
      <c r="N39" s="26" t="s">
        <v>267</v>
      </c>
    </row>
    <row r="40" spans="1:14" ht="10.5">
      <c r="A40" s="23">
        <v>34</v>
      </c>
      <c r="B40" s="6" t="s">
        <v>99</v>
      </c>
      <c r="C40" s="26" t="s">
        <v>236</v>
      </c>
      <c r="D40" s="29">
        <v>0</v>
      </c>
      <c r="F40" s="22">
        <f>ROUND(SUMIF(Определители!I6:I17,"=4",'Базовые цены с учетом расхода'!B6:B17),2)</f>
        <v>654.69</v>
      </c>
      <c r="G40" s="22">
        <f>ROUND(SUMIF(Определители!I6:I17,"=4",'Базовые цены с учетом расхода'!C6:C17),2)</f>
        <v>150.05</v>
      </c>
      <c r="H40" s="22">
        <f>ROUND(SUMIF(Определители!I6:I17,"=4",'Базовые цены с учетом расхода'!D6:D17),2)</f>
        <v>21.33</v>
      </c>
      <c r="I40" s="22">
        <f>ROUND(SUMIF(Определители!I6:I17,"=4",'Базовые цены с учетом расхода'!E6:E17),2)</f>
        <v>0.05</v>
      </c>
      <c r="J40" s="31" t="e">
        <f>ROUND(SUMIF(Определители!I6:I17,"=4",'Базовые цены с учетом расхода'!I6:I17),8)</f>
        <v>#NAME?</v>
      </c>
      <c r="K40" s="31" t="e">
        <f>ROUND(SUMIF(Определители!I6:I17,"=4",'Базовые цены с учетом расхода'!K6:K17),8)</f>
        <v>#NAME?</v>
      </c>
      <c r="L40" s="22">
        <f>ROUND(SUMIF(Определители!I6:I17,"=4",'Базовые цены с учетом расхода'!F6:F17),2)</f>
        <v>483.31</v>
      </c>
      <c r="N40" s="26" t="s">
        <v>268</v>
      </c>
    </row>
    <row r="41" spans="1:14" ht="10.5">
      <c r="A41" s="23">
        <v>35</v>
      </c>
      <c r="B41" s="6" t="s">
        <v>86</v>
      </c>
      <c r="C41" s="26" t="s">
        <v>236</v>
      </c>
      <c r="D41" s="29">
        <v>0</v>
      </c>
      <c r="F41" s="22"/>
      <c r="G41" s="22"/>
      <c r="H41" s="22"/>
      <c r="I41" s="22"/>
      <c r="J41" s="31"/>
      <c r="K41" s="31"/>
      <c r="L41" s="22"/>
      <c r="N41" s="26" t="s">
        <v>269</v>
      </c>
    </row>
    <row r="42" spans="1:14" ht="10.5">
      <c r="A42" s="23">
        <v>36</v>
      </c>
      <c r="B42" s="6" t="s">
        <v>100</v>
      </c>
      <c r="C42" s="26" t="s">
        <v>236</v>
      </c>
      <c r="D42" s="29">
        <v>0</v>
      </c>
      <c r="F42" s="22"/>
      <c r="G42" s="22"/>
      <c r="H42" s="22"/>
      <c r="I42" s="22"/>
      <c r="J42" s="31"/>
      <c r="K42" s="31"/>
      <c r="L42" s="22"/>
      <c r="N42" s="26" t="s">
        <v>270</v>
      </c>
    </row>
    <row r="43" spans="1:14" ht="10.5">
      <c r="A43" s="23">
        <v>37</v>
      </c>
      <c r="B43" s="6" t="s">
        <v>90</v>
      </c>
      <c r="C43" s="26" t="s">
        <v>236</v>
      </c>
      <c r="D43" s="29">
        <v>0</v>
      </c>
      <c r="F43" s="22">
        <f>ROUND(SUMIF(Определители!I6:I17,"=4",'Базовые цены с учетом расхода'!H6:H17),2)</f>
        <v>0</v>
      </c>
      <c r="G43" s="22"/>
      <c r="H43" s="22"/>
      <c r="I43" s="22"/>
      <c r="J43" s="31"/>
      <c r="K43" s="31"/>
      <c r="L43" s="22"/>
      <c r="N43" s="26" t="s">
        <v>271</v>
      </c>
    </row>
    <row r="44" spans="1:14" ht="10.5">
      <c r="A44" s="23">
        <v>38</v>
      </c>
      <c r="B44" s="6" t="s">
        <v>91</v>
      </c>
      <c r="C44" s="26" t="s">
        <v>236</v>
      </c>
      <c r="D44" s="29">
        <v>0</v>
      </c>
      <c r="F44" s="22">
        <f>ROUND(SUMIF(Определители!I6:I17,"=4",'Базовые цены с учетом расхода'!N6:N17),2)</f>
        <v>167.73</v>
      </c>
      <c r="G44" s="22"/>
      <c r="H44" s="22"/>
      <c r="I44" s="22"/>
      <c r="J44" s="31"/>
      <c r="K44" s="31"/>
      <c r="L44" s="22"/>
      <c r="N44" s="26" t="s">
        <v>272</v>
      </c>
    </row>
    <row r="45" spans="1:14" ht="10.5">
      <c r="A45" s="23">
        <v>39</v>
      </c>
      <c r="B45" s="6" t="s">
        <v>92</v>
      </c>
      <c r="C45" s="26" t="s">
        <v>236</v>
      </c>
      <c r="D45" s="29">
        <v>0</v>
      </c>
      <c r="F45" s="22">
        <f>ROUND(SUMIF(Определители!I6:I17,"=4",'Базовые цены с учетом расхода'!O6:O17),2)</f>
        <v>102.09</v>
      </c>
      <c r="G45" s="22"/>
      <c r="H45" s="22"/>
      <c r="I45" s="22"/>
      <c r="J45" s="31"/>
      <c r="K45" s="31"/>
      <c r="L45" s="22"/>
      <c r="N45" s="26" t="s">
        <v>273</v>
      </c>
    </row>
    <row r="46" spans="1:14" ht="10.5">
      <c r="A46" s="23">
        <v>40</v>
      </c>
      <c r="B46" s="6" t="s">
        <v>83</v>
      </c>
      <c r="C46" s="26" t="s">
        <v>236</v>
      </c>
      <c r="D46" s="29">
        <v>0</v>
      </c>
      <c r="F46" s="22" t="e">
        <f>ROUND(СУММПРОИЗВЕСЛИ(1,Определители!I6:I17," ",'Базовые цены с учетом расхода'!M6:M17,Начисления!I6:I17,0),2)</f>
        <v>#NAME?</v>
      </c>
      <c r="G46" s="22"/>
      <c r="H46" s="22"/>
      <c r="I46" s="22"/>
      <c r="J46" s="31"/>
      <c r="K46" s="31"/>
      <c r="L46" s="22"/>
      <c r="N46" s="26" t="s">
        <v>274</v>
      </c>
    </row>
    <row r="47" spans="1:14" ht="10.5">
      <c r="A47" s="23">
        <v>41</v>
      </c>
      <c r="B47" s="6" t="s">
        <v>103</v>
      </c>
      <c r="C47" s="26" t="s">
        <v>243</v>
      </c>
      <c r="D47" s="29">
        <v>0</v>
      </c>
      <c r="F47" s="22">
        <f>ROUND((F40+F44+F45),2)</f>
        <v>924.51</v>
      </c>
      <c r="G47" s="22"/>
      <c r="H47" s="22"/>
      <c r="I47" s="22"/>
      <c r="J47" s="31"/>
      <c r="K47" s="31"/>
      <c r="L47" s="22"/>
      <c r="N47" s="26" t="s">
        <v>275</v>
      </c>
    </row>
    <row r="48" spans="1:14" ht="10.5">
      <c r="A48" s="23">
        <v>42</v>
      </c>
      <c r="B48" s="6" t="s">
        <v>104</v>
      </c>
      <c r="C48" s="26" t="s">
        <v>236</v>
      </c>
      <c r="D48" s="29">
        <v>0</v>
      </c>
      <c r="F48" s="22">
        <f>ROUND(SUMIF(Определители!I6:I17,"=5",'Базовые цены с учетом расхода'!B6:B17),2)</f>
        <v>0</v>
      </c>
      <c r="G48" s="22">
        <f>ROUND(SUMIF(Определители!I6:I17,"=5",'Базовые цены с учетом расхода'!C6:C17),2)</f>
        <v>0</v>
      </c>
      <c r="H48" s="22">
        <f>ROUND(SUMIF(Определители!I6:I17,"=5",'Базовые цены с учетом расхода'!D6:D17),2)</f>
        <v>0</v>
      </c>
      <c r="I48" s="22">
        <f>ROUND(SUMIF(Определители!I6:I17,"=5",'Базовые цены с учетом расхода'!E6:E17),2)</f>
        <v>0</v>
      </c>
      <c r="J48" s="31">
        <f>ROUND(SUMIF(Определители!I6:I17,"=5",'Базовые цены с учетом расхода'!I6:I17),8)</f>
        <v>0</v>
      </c>
      <c r="K48" s="31">
        <f>ROUND(SUMIF(Определители!I6:I17,"=5",'Базовые цены с учетом расхода'!K6:K17),8)</f>
        <v>0</v>
      </c>
      <c r="L48" s="22">
        <f>ROUND(SUMIF(Определители!I6:I17,"=5",'Базовые цены с учетом расхода'!F6:F17),2)</f>
        <v>0</v>
      </c>
      <c r="N48" s="26" t="s">
        <v>276</v>
      </c>
    </row>
    <row r="49" spans="1:14" ht="10.5">
      <c r="A49" s="23">
        <v>43</v>
      </c>
      <c r="B49" s="6" t="s">
        <v>90</v>
      </c>
      <c r="C49" s="26" t="s">
        <v>236</v>
      </c>
      <c r="D49" s="29">
        <v>0</v>
      </c>
      <c r="F49" s="22">
        <f>ROUND(SUMIF(Определители!I6:I17,"=5",'Базовые цены с учетом расхода'!H6:H17),2)</f>
        <v>0</v>
      </c>
      <c r="G49" s="22"/>
      <c r="H49" s="22"/>
      <c r="I49" s="22"/>
      <c r="J49" s="31"/>
      <c r="K49" s="31"/>
      <c r="L49" s="22"/>
      <c r="N49" s="26" t="s">
        <v>277</v>
      </c>
    </row>
    <row r="50" spans="1:14" ht="10.5">
      <c r="A50" s="23">
        <v>44</v>
      </c>
      <c r="B50" s="6" t="s">
        <v>91</v>
      </c>
      <c r="C50" s="26" t="s">
        <v>236</v>
      </c>
      <c r="D50" s="29">
        <v>0</v>
      </c>
      <c r="F50" s="22">
        <f>ROUND(SUMIF(Определители!I6:I17,"=5",'Базовые цены с учетом расхода'!N6:N17),2)</f>
        <v>0</v>
      </c>
      <c r="G50" s="22"/>
      <c r="H50" s="22"/>
      <c r="I50" s="22"/>
      <c r="J50" s="31"/>
      <c r="K50" s="31"/>
      <c r="L50" s="22"/>
      <c r="N50" s="26" t="s">
        <v>278</v>
      </c>
    </row>
    <row r="51" spans="1:14" ht="10.5">
      <c r="A51" s="23">
        <v>45</v>
      </c>
      <c r="B51" s="6" t="s">
        <v>92</v>
      </c>
      <c r="C51" s="26" t="s">
        <v>236</v>
      </c>
      <c r="D51" s="29">
        <v>0</v>
      </c>
      <c r="F51" s="22">
        <f>ROUND(SUMIF(Определители!I6:I17,"=5",'Базовые цены с учетом расхода'!O6:O17),2)</f>
        <v>0</v>
      </c>
      <c r="G51" s="22"/>
      <c r="H51" s="22"/>
      <c r="I51" s="22"/>
      <c r="J51" s="31"/>
      <c r="K51" s="31"/>
      <c r="L51" s="22"/>
      <c r="N51" s="26" t="s">
        <v>279</v>
      </c>
    </row>
    <row r="52" spans="1:14" ht="10.5">
      <c r="A52" s="23">
        <v>46</v>
      </c>
      <c r="B52" s="6" t="s">
        <v>105</v>
      </c>
      <c r="C52" s="26" t="s">
        <v>243</v>
      </c>
      <c r="D52" s="29">
        <v>0</v>
      </c>
      <c r="F52" s="22">
        <f>ROUND((F48+F50+F51),2)</f>
        <v>0</v>
      </c>
      <c r="G52" s="22"/>
      <c r="H52" s="22"/>
      <c r="I52" s="22"/>
      <c r="J52" s="31"/>
      <c r="K52" s="31"/>
      <c r="L52" s="22"/>
      <c r="N52" s="26" t="s">
        <v>280</v>
      </c>
    </row>
    <row r="53" spans="1:14" ht="10.5">
      <c r="A53" s="23">
        <v>47</v>
      </c>
      <c r="B53" s="6" t="s">
        <v>106</v>
      </c>
      <c r="C53" s="26" t="s">
        <v>236</v>
      </c>
      <c r="D53" s="29">
        <v>0</v>
      </c>
      <c r="F53" s="22">
        <f>ROUND(SUMIF(Определители!I6:I17,"=6",'Базовые цены с учетом расхода'!B6:B17),2)</f>
        <v>0</v>
      </c>
      <c r="G53" s="22">
        <f>ROUND(SUMIF(Определители!I6:I17,"=6",'Базовые цены с учетом расхода'!C6:C17),2)</f>
        <v>0</v>
      </c>
      <c r="H53" s="22">
        <f>ROUND(SUMIF(Определители!I6:I17,"=6",'Базовые цены с учетом расхода'!D6:D17),2)</f>
        <v>0</v>
      </c>
      <c r="I53" s="22">
        <f>ROUND(SUMIF(Определители!I6:I17,"=6",'Базовые цены с учетом расхода'!E6:E17),2)</f>
        <v>0</v>
      </c>
      <c r="J53" s="31">
        <f>ROUND(SUMIF(Определители!I6:I17,"=6",'Базовые цены с учетом расхода'!I6:I17),8)</f>
        <v>0</v>
      </c>
      <c r="K53" s="31">
        <f>ROUND(SUMIF(Определители!I6:I17,"=6",'Базовые цены с учетом расхода'!K6:K17),8)</f>
        <v>0</v>
      </c>
      <c r="L53" s="22">
        <f>ROUND(SUMIF(Определители!I6:I17,"=6",'Базовые цены с учетом расхода'!F6:F17),2)</f>
        <v>0</v>
      </c>
      <c r="N53" s="26" t="s">
        <v>281</v>
      </c>
    </row>
    <row r="54" spans="1:14" ht="10.5">
      <c r="A54" s="23">
        <v>48</v>
      </c>
      <c r="B54" s="6" t="s">
        <v>90</v>
      </c>
      <c r="C54" s="26" t="s">
        <v>236</v>
      </c>
      <c r="D54" s="29">
        <v>0</v>
      </c>
      <c r="F54" s="22">
        <f>ROUND(SUMIF(Определители!I6:I17,"=6",'Базовые цены с учетом расхода'!H6:H17),2)</f>
        <v>0</v>
      </c>
      <c r="G54" s="22"/>
      <c r="H54" s="22"/>
      <c r="I54" s="22"/>
      <c r="J54" s="31"/>
      <c r="K54" s="31"/>
      <c r="L54" s="22"/>
      <c r="N54" s="26" t="s">
        <v>282</v>
      </c>
    </row>
    <row r="55" spans="1:14" ht="10.5">
      <c r="A55" s="23">
        <v>49</v>
      </c>
      <c r="B55" s="6" t="s">
        <v>91</v>
      </c>
      <c r="C55" s="26" t="s">
        <v>236</v>
      </c>
      <c r="D55" s="29">
        <v>0</v>
      </c>
      <c r="F55" s="22">
        <f>ROUND(SUMIF(Определители!I6:I17,"=6",'Базовые цены с учетом расхода'!N6:N17),2)</f>
        <v>0</v>
      </c>
      <c r="G55" s="22"/>
      <c r="H55" s="22"/>
      <c r="I55" s="22"/>
      <c r="J55" s="31"/>
      <c r="K55" s="31"/>
      <c r="L55" s="22"/>
      <c r="N55" s="26" t="s">
        <v>283</v>
      </c>
    </row>
    <row r="56" spans="1:14" ht="10.5">
      <c r="A56" s="23">
        <v>50</v>
      </c>
      <c r="B56" s="6" t="s">
        <v>92</v>
      </c>
      <c r="C56" s="26" t="s">
        <v>236</v>
      </c>
      <c r="D56" s="29">
        <v>0</v>
      </c>
      <c r="F56" s="22">
        <f>ROUND(SUMIF(Определители!I6:I17,"=6",'Базовые цены с учетом расхода'!O6:O17),2)</f>
        <v>0</v>
      </c>
      <c r="G56" s="22"/>
      <c r="H56" s="22"/>
      <c r="I56" s="22"/>
      <c r="J56" s="31"/>
      <c r="K56" s="31"/>
      <c r="L56" s="22"/>
      <c r="N56" s="26" t="s">
        <v>284</v>
      </c>
    </row>
    <row r="57" spans="1:14" ht="10.5">
      <c r="A57" s="23">
        <v>51</v>
      </c>
      <c r="B57" s="6" t="s">
        <v>107</v>
      </c>
      <c r="C57" s="26" t="s">
        <v>243</v>
      </c>
      <c r="D57" s="29">
        <v>0</v>
      </c>
      <c r="F57" s="22">
        <f>ROUND((F53+F55+F56),2)</f>
        <v>0</v>
      </c>
      <c r="G57" s="22"/>
      <c r="H57" s="22"/>
      <c r="I57" s="22"/>
      <c r="J57" s="31"/>
      <c r="K57" s="31"/>
      <c r="L57" s="22"/>
      <c r="N57" s="26" t="s">
        <v>285</v>
      </c>
    </row>
    <row r="58" spans="1:14" ht="10.5">
      <c r="A58" s="23">
        <v>52</v>
      </c>
      <c r="B58" s="6" t="s">
        <v>108</v>
      </c>
      <c r="C58" s="26" t="s">
        <v>236</v>
      </c>
      <c r="D58" s="29">
        <v>0</v>
      </c>
      <c r="F58" s="22">
        <f>ROUND(SUMIF(Определители!I6:I17,"=7",'Базовые цены с учетом расхода'!B6:B17),2)</f>
        <v>0</v>
      </c>
      <c r="G58" s="22">
        <f>ROUND(SUMIF(Определители!I6:I17,"=7",'Базовые цены с учетом расхода'!C6:C17),2)</f>
        <v>0</v>
      </c>
      <c r="H58" s="22">
        <f>ROUND(SUMIF(Определители!I6:I17,"=7",'Базовые цены с учетом расхода'!D6:D17),2)</f>
        <v>0</v>
      </c>
      <c r="I58" s="22">
        <f>ROUND(SUMIF(Определители!I6:I17,"=7",'Базовые цены с учетом расхода'!E6:E17),2)</f>
        <v>0</v>
      </c>
      <c r="J58" s="31">
        <f>ROUND(SUMIF(Определители!I6:I17,"=7",'Базовые цены с учетом расхода'!I6:I17),8)</f>
        <v>0</v>
      </c>
      <c r="K58" s="31">
        <f>ROUND(SUMIF(Определители!I6:I17,"=7",'Базовые цены с учетом расхода'!K6:K17),8)</f>
        <v>0</v>
      </c>
      <c r="L58" s="22">
        <f>ROUND(SUMIF(Определители!I6:I17,"=7",'Базовые цены с учетом расхода'!F6:F17),2)</f>
        <v>0</v>
      </c>
      <c r="N58" s="26" t="s">
        <v>286</v>
      </c>
    </row>
    <row r="59" spans="1:14" ht="10.5">
      <c r="A59" s="23">
        <v>53</v>
      </c>
      <c r="B59" s="6" t="s">
        <v>86</v>
      </c>
      <c r="C59" s="26" t="s">
        <v>236</v>
      </c>
      <c r="D59" s="29">
        <v>0</v>
      </c>
      <c r="F59" s="22"/>
      <c r="G59" s="22"/>
      <c r="H59" s="22"/>
      <c r="I59" s="22"/>
      <c r="J59" s="31"/>
      <c r="K59" s="31"/>
      <c r="L59" s="22"/>
      <c r="N59" s="26" t="s">
        <v>287</v>
      </c>
    </row>
    <row r="60" spans="1:14" ht="10.5">
      <c r="A60" s="23">
        <v>54</v>
      </c>
      <c r="B60" s="6" t="s">
        <v>109</v>
      </c>
      <c r="C60" s="26" t="s">
        <v>236</v>
      </c>
      <c r="D60" s="29">
        <v>0</v>
      </c>
      <c r="F60" s="22">
        <f>ROUND(SUMIF(Определители!G6:G17,"=1",'Базовые цены с учетом расхода'!F6:F17),2)</f>
        <v>104.1</v>
      </c>
      <c r="G60" s="22"/>
      <c r="H60" s="22"/>
      <c r="I60" s="22"/>
      <c r="J60" s="31"/>
      <c r="K60" s="31"/>
      <c r="L60" s="22"/>
      <c r="N60" s="26" t="s">
        <v>288</v>
      </c>
    </row>
    <row r="61" spans="1:14" ht="10.5">
      <c r="A61" s="23">
        <v>55</v>
      </c>
      <c r="B61" s="6" t="s">
        <v>90</v>
      </c>
      <c r="C61" s="26" t="s">
        <v>236</v>
      </c>
      <c r="D61" s="29">
        <v>0</v>
      </c>
      <c r="F61" s="22">
        <f>ROUND(SUMIF(Определители!I6:I17,"=7",'Базовые цены с учетом расхода'!H6:H17),2)</f>
        <v>0</v>
      </c>
      <c r="G61" s="22"/>
      <c r="H61" s="22"/>
      <c r="I61" s="22"/>
      <c r="J61" s="31"/>
      <c r="K61" s="31"/>
      <c r="L61" s="22"/>
      <c r="N61" s="26" t="s">
        <v>289</v>
      </c>
    </row>
    <row r="62" spans="1:14" ht="10.5">
      <c r="A62" s="23">
        <v>56</v>
      </c>
      <c r="B62" s="6" t="s">
        <v>110</v>
      </c>
      <c r="C62" s="26" t="s">
        <v>236</v>
      </c>
      <c r="D62" s="29">
        <v>0</v>
      </c>
      <c r="F62" s="22">
        <f>ROUND(SUMIF(Определители!I6:I17,"=7",'Базовые цены с учетом расхода'!N6:N17),2)</f>
        <v>0</v>
      </c>
      <c r="G62" s="22"/>
      <c r="H62" s="22"/>
      <c r="I62" s="22"/>
      <c r="J62" s="31"/>
      <c r="K62" s="31"/>
      <c r="L62" s="22"/>
      <c r="N62" s="26" t="s">
        <v>290</v>
      </c>
    </row>
    <row r="63" spans="1:14" ht="10.5">
      <c r="A63" s="23">
        <v>57</v>
      </c>
      <c r="B63" s="6" t="s">
        <v>92</v>
      </c>
      <c r="C63" s="26" t="s">
        <v>236</v>
      </c>
      <c r="D63" s="29">
        <v>0</v>
      </c>
      <c r="F63" s="22">
        <f>ROUND(SUMIF(Определители!I6:I17,"=7",'Базовые цены с учетом расхода'!O6:O17),2)</f>
        <v>0</v>
      </c>
      <c r="G63" s="22"/>
      <c r="H63" s="22"/>
      <c r="I63" s="22"/>
      <c r="J63" s="31"/>
      <c r="K63" s="31"/>
      <c r="L63" s="22"/>
      <c r="N63" s="26" t="s">
        <v>291</v>
      </c>
    </row>
    <row r="64" spans="1:14" ht="10.5">
      <c r="A64" s="23">
        <v>58</v>
      </c>
      <c r="B64" s="6" t="s">
        <v>111</v>
      </c>
      <c r="C64" s="26" t="s">
        <v>243</v>
      </c>
      <c r="D64" s="29">
        <v>0</v>
      </c>
      <c r="F64" s="22">
        <f>ROUND((F58+F62+F63),2)</f>
        <v>0</v>
      </c>
      <c r="G64" s="22"/>
      <c r="H64" s="22"/>
      <c r="I64" s="22"/>
      <c r="J64" s="31"/>
      <c r="K64" s="31"/>
      <c r="L64" s="22"/>
      <c r="N64" s="26" t="s">
        <v>292</v>
      </c>
    </row>
    <row r="65" spans="1:14" ht="10.5">
      <c r="A65" s="23">
        <v>59</v>
      </c>
      <c r="B65" s="6" t="s">
        <v>112</v>
      </c>
      <c r="C65" s="26" t="s">
        <v>236</v>
      </c>
      <c r="D65" s="29">
        <v>0</v>
      </c>
      <c r="F65" s="22">
        <f>ROUND(SUMIF(Определители!I6:I17,"=9",'Базовые цены с учетом расхода'!B6:B17),2)</f>
        <v>0</v>
      </c>
      <c r="G65" s="22">
        <f>ROUND(SUMIF(Определители!I6:I17,"=9",'Базовые цены с учетом расхода'!C6:C17),2)</f>
        <v>0</v>
      </c>
      <c r="H65" s="22">
        <f>ROUND(SUMIF(Определители!I6:I17,"=9",'Базовые цены с учетом расхода'!D6:D17),2)</f>
        <v>0</v>
      </c>
      <c r="I65" s="22">
        <f>ROUND(SUMIF(Определители!I6:I17,"=9",'Базовые цены с учетом расхода'!E6:E17),2)</f>
        <v>0</v>
      </c>
      <c r="J65" s="31">
        <f>ROUND(SUMIF(Определители!I6:I17,"=9",'Базовые цены с учетом расхода'!I6:I17),8)</f>
        <v>0</v>
      </c>
      <c r="K65" s="31">
        <f>ROUND(SUMIF(Определители!I6:I17,"=9",'Базовые цены с учетом расхода'!K6:K17),8)</f>
        <v>0</v>
      </c>
      <c r="L65" s="22">
        <f>ROUND(SUMIF(Определители!I6:I17,"=9",'Базовые цены с учетом расхода'!F6:F17),2)</f>
        <v>0</v>
      </c>
      <c r="N65" s="26" t="s">
        <v>293</v>
      </c>
    </row>
    <row r="66" spans="1:14" ht="10.5">
      <c r="A66" s="23">
        <v>60</v>
      </c>
      <c r="B66" s="6" t="s">
        <v>110</v>
      </c>
      <c r="C66" s="26" t="s">
        <v>236</v>
      </c>
      <c r="D66" s="29">
        <v>0</v>
      </c>
      <c r="F66" s="22">
        <f>ROUND(SUMIF(Определители!I6:I17,"=9",'Базовые цены с учетом расхода'!N6:N17),2)</f>
        <v>0</v>
      </c>
      <c r="G66" s="22"/>
      <c r="H66" s="22"/>
      <c r="I66" s="22"/>
      <c r="J66" s="31"/>
      <c r="K66" s="31"/>
      <c r="L66" s="22"/>
      <c r="N66" s="26" t="s">
        <v>294</v>
      </c>
    </row>
    <row r="67" spans="1:14" ht="10.5">
      <c r="A67" s="23">
        <v>61</v>
      </c>
      <c r="B67" s="6" t="s">
        <v>92</v>
      </c>
      <c r="C67" s="26" t="s">
        <v>236</v>
      </c>
      <c r="D67" s="29">
        <v>0</v>
      </c>
      <c r="F67" s="22">
        <f>ROUND(SUMIF(Определители!I6:I17,"=9",'Базовые цены с учетом расхода'!O6:O17),2)</f>
        <v>0</v>
      </c>
      <c r="G67" s="22"/>
      <c r="H67" s="22"/>
      <c r="I67" s="22"/>
      <c r="J67" s="31"/>
      <c r="K67" s="31"/>
      <c r="L67" s="22"/>
      <c r="N67" s="26" t="s">
        <v>295</v>
      </c>
    </row>
    <row r="68" spans="1:14" ht="10.5">
      <c r="A68" s="23">
        <v>62</v>
      </c>
      <c r="B68" s="6" t="s">
        <v>113</v>
      </c>
      <c r="C68" s="26" t="s">
        <v>243</v>
      </c>
      <c r="D68" s="29">
        <v>0</v>
      </c>
      <c r="F68" s="22">
        <f>ROUND((F65+F66+F67),2)</f>
        <v>0</v>
      </c>
      <c r="G68" s="22"/>
      <c r="H68" s="22"/>
      <c r="I68" s="22"/>
      <c r="J68" s="31"/>
      <c r="K68" s="31"/>
      <c r="L68" s="22"/>
      <c r="N68" s="26" t="s">
        <v>296</v>
      </c>
    </row>
    <row r="69" spans="1:14" ht="10.5">
      <c r="A69" s="23">
        <v>63</v>
      </c>
      <c r="B69" s="6" t="s">
        <v>114</v>
      </c>
      <c r="C69" s="26" t="s">
        <v>236</v>
      </c>
      <c r="D69" s="29">
        <v>0</v>
      </c>
      <c r="F69" s="22">
        <f>ROUND(SUMIF(Определители!I6:I17,"=:",'Базовые цены с учетом расхода'!B6:B17),2)</f>
        <v>0</v>
      </c>
      <c r="G69" s="22">
        <f>ROUND(SUMIF(Определители!I6:I17,"=:",'Базовые цены с учетом расхода'!C6:C17),2)</f>
        <v>0</v>
      </c>
      <c r="H69" s="22">
        <f>ROUND(SUMIF(Определители!I6:I17,"=:",'Базовые цены с учетом расхода'!D6:D17),2)</f>
        <v>0</v>
      </c>
      <c r="I69" s="22">
        <f>ROUND(SUMIF(Определители!I6:I17,"=:",'Базовые цены с учетом расхода'!E6:E17),2)</f>
        <v>0</v>
      </c>
      <c r="J69" s="31">
        <f>ROUND(SUMIF(Определители!I6:I17,"=:",'Базовые цены с учетом расхода'!I6:I17),8)</f>
        <v>0</v>
      </c>
      <c r="K69" s="31">
        <f>ROUND(SUMIF(Определители!I6:I17,"=:",'Базовые цены с учетом расхода'!K6:K17),8)</f>
        <v>0</v>
      </c>
      <c r="L69" s="22">
        <f>ROUND(SUMIF(Определители!I6:I17,"=:",'Базовые цены с учетом расхода'!F6:F17),2)</f>
        <v>0</v>
      </c>
      <c r="N69" s="26" t="s">
        <v>297</v>
      </c>
    </row>
    <row r="70" spans="1:14" ht="10.5">
      <c r="A70" s="23">
        <v>64</v>
      </c>
      <c r="B70" s="6" t="s">
        <v>90</v>
      </c>
      <c r="C70" s="26" t="s">
        <v>236</v>
      </c>
      <c r="D70" s="29">
        <v>0</v>
      </c>
      <c r="F70" s="22">
        <f>ROUND(SUMIF(Определители!I6:I17,"=:",'Базовые цены с учетом расхода'!H6:H17),2)</f>
        <v>0</v>
      </c>
      <c r="G70" s="22"/>
      <c r="H70" s="22"/>
      <c r="I70" s="22"/>
      <c r="J70" s="31"/>
      <c r="K70" s="31"/>
      <c r="L70" s="22"/>
      <c r="N70" s="26" t="s">
        <v>298</v>
      </c>
    </row>
    <row r="71" spans="1:14" ht="10.5">
      <c r="A71" s="23">
        <v>65</v>
      </c>
      <c r="B71" s="6" t="s">
        <v>110</v>
      </c>
      <c r="C71" s="26" t="s">
        <v>236</v>
      </c>
      <c r="D71" s="29">
        <v>0</v>
      </c>
      <c r="F71" s="22">
        <f>ROUND(SUMIF(Определители!I6:I17,"=:",'Базовые цены с учетом расхода'!N6:N17),2)</f>
        <v>0</v>
      </c>
      <c r="G71" s="22"/>
      <c r="H71" s="22"/>
      <c r="I71" s="22"/>
      <c r="J71" s="31"/>
      <c r="K71" s="31"/>
      <c r="L71" s="22"/>
      <c r="N71" s="26" t="s">
        <v>299</v>
      </c>
    </row>
    <row r="72" spans="1:14" ht="10.5">
      <c r="A72" s="23">
        <v>66</v>
      </c>
      <c r="B72" s="6" t="s">
        <v>92</v>
      </c>
      <c r="C72" s="26" t="s">
        <v>236</v>
      </c>
      <c r="D72" s="29">
        <v>0</v>
      </c>
      <c r="F72" s="22">
        <f>ROUND(SUMIF(Определители!I6:I17,"=:",'Базовые цены с учетом расхода'!O6:O17),2)</f>
        <v>0</v>
      </c>
      <c r="G72" s="22"/>
      <c r="H72" s="22"/>
      <c r="I72" s="22"/>
      <c r="J72" s="31"/>
      <c r="K72" s="31"/>
      <c r="L72" s="22"/>
      <c r="N72" s="26" t="s">
        <v>300</v>
      </c>
    </row>
    <row r="73" spans="1:14" ht="10.5">
      <c r="A73" s="23">
        <v>67</v>
      </c>
      <c r="B73" s="6" t="s">
        <v>115</v>
      </c>
      <c r="C73" s="26" t="s">
        <v>243</v>
      </c>
      <c r="D73" s="29">
        <v>0</v>
      </c>
      <c r="F73" s="22">
        <f>ROUND((F69+F71+F72),2)</f>
        <v>0</v>
      </c>
      <c r="G73" s="22"/>
      <c r="H73" s="22"/>
      <c r="I73" s="22"/>
      <c r="J73" s="31"/>
      <c r="K73" s="31"/>
      <c r="L73" s="22"/>
      <c r="N73" s="26" t="s">
        <v>301</v>
      </c>
    </row>
    <row r="74" spans="1:14" ht="10.5">
      <c r="A74" s="23">
        <v>68</v>
      </c>
      <c r="B74" s="6" t="s">
        <v>116</v>
      </c>
      <c r="C74" s="26" t="s">
        <v>236</v>
      </c>
      <c r="D74" s="29">
        <v>0</v>
      </c>
      <c r="F74" s="22">
        <f>ROUND(SUMIF(Определители!I6:I17,"=8",'Базовые цены с учетом расхода'!B6:B17),2)</f>
        <v>0</v>
      </c>
      <c r="G74" s="22">
        <f>ROUND(SUMIF(Определители!I6:I17,"=8",'Базовые цены с учетом расхода'!C6:C17),2)</f>
        <v>0</v>
      </c>
      <c r="H74" s="22">
        <f>ROUND(SUMIF(Определители!I6:I17,"=8",'Базовые цены с учетом расхода'!D6:D17),2)</f>
        <v>0</v>
      </c>
      <c r="I74" s="22">
        <f>ROUND(SUMIF(Определители!I6:I17,"=8",'Базовые цены с учетом расхода'!E6:E17),2)</f>
        <v>0</v>
      </c>
      <c r="J74" s="31">
        <f>ROUND(SUMIF(Определители!I6:I17,"=8",'Базовые цены с учетом расхода'!I6:I17),8)</f>
        <v>0</v>
      </c>
      <c r="K74" s="31">
        <f>ROUND(SUMIF(Определители!I6:I17,"=8",'Базовые цены с учетом расхода'!K6:K17),8)</f>
        <v>0</v>
      </c>
      <c r="L74" s="22">
        <f>ROUND(SUMIF(Определители!I6:I17,"=8",'Базовые цены с учетом расхода'!F6:F17),2)</f>
        <v>0</v>
      </c>
      <c r="N74" s="26" t="s">
        <v>302</v>
      </c>
    </row>
    <row r="75" spans="1:14" ht="10.5">
      <c r="A75" s="23">
        <v>69</v>
      </c>
      <c r="B75" s="6" t="s">
        <v>90</v>
      </c>
      <c r="C75" s="26" t="s">
        <v>236</v>
      </c>
      <c r="D75" s="29">
        <v>0</v>
      </c>
      <c r="F75" s="22">
        <f>ROUND(SUMIF(Определители!I6:I17,"=8",'Базовые цены с учетом расхода'!H6:H17),2)</f>
        <v>0</v>
      </c>
      <c r="G75" s="22"/>
      <c r="H75" s="22"/>
      <c r="I75" s="22"/>
      <c r="J75" s="31"/>
      <c r="K75" s="31"/>
      <c r="L75" s="22"/>
      <c r="N75" s="26" t="s">
        <v>303</v>
      </c>
    </row>
    <row r="76" spans="1:14" ht="10.5">
      <c r="A76" s="23">
        <v>70</v>
      </c>
      <c r="B76" s="6" t="s">
        <v>117</v>
      </c>
      <c r="C76" s="26" t="s">
        <v>243</v>
      </c>
      <c r="D76" s="29">
        <v>0</v>
      </c>
      <c r="F76" s="22" t="e">
        <f>ROUND((F17+F27+F34+F39+F47+F52+F57+F64+F68+F73+F74),2)</f>
        <v>#NAME?</v>
      </c>
      <c r="G76" s="22">
        <f>ROUND((G17+G27+G34+G39+G47+G52+G57+G64+G68+G73+G74),2)</f>
        <v>0</v>
      </c>
      <c r="H76" s="22">
        <f>ROUND((H17+H27+H34+H39+H47+H52+H57+H64+H68+H73+H74),2)</f>
        <v>0</v>
      </c>
      <c r="I76" s="22">
        <f>ROUND((I17+I27+I34+I39+I47+I52+I57+I64+I68+I73+I74),2)</f>
        <v>0</v>
      </c>
      <c r="J76" s="31">
        <f>ROUND((J17+J27+J34+J39+J47+J52+J57+J64+J68+J73+J74),8)</f>
        <v>0</v>
      </c>
      <c r="K76" s="31">
        <f>ROUND((K17+K27+K34+K39+K47+K52+K57+K64+K68+K73+K74),8)</f>
        <v>0</v>
      </c>
      <c r="L76" s="22">
        <f>ROUND((L17+L27+L34+L39+L47+L52+L57+L64+L68+L73+L74),2)</f>
        <v>0</v>
      </c>
      <c r="N76" s="26" t="s">
        <v>304</v>
      </c>
    </row>
    <row r="77" spans="1:14" ht="10.5">
      <c r="A77" s="23">
        <v>71</v>
      </c>
      <c r="B77" s="6" t="s">
        <v>118</v>
      </c>
      <c r="C77" s="26" t="s">
        <v>243</v>
      </c>
      <c r="D77" s="29">
        <v>0</v>
      </c>
      <c r="F77" s="22">
        <f>ROUND((F23+F31+F36+F43+F49+F54+F61+F70+F75),2)</f>
        <v>0</v>
      </c>
      <c r="G77" s="22"/>
      <c r="H77" s="22"/>
      <c r="I77" s="22"/>
      <c r="J77" s="31"/>
      <c r="K77" s="31"/>
      <c r="L77" s="22"/>
      <c r="N77" s="26" t="s">
        <v>305</v>
      </c>
    </row>
    <row r="78" spans="1:14" ht="10.5">
      <c r="A78" s="23">
        <v>72</v>
      </c>
      <c r="B78" s="6" t="s">
        <v>119</v>
      </c>
      <c r="C78" s="26" t="s">
        <v>243</v>
      </c>
      <c r="D78" s="29">
        <v>0</v>
      </c>
      <c r="F78" s="22">
        <f>ROUND((F24+F32+F37+F44+F50+F55+F62+F66+F71),2)</f>
        <v>167.73</v>
      </c>
      <c r="G78" s="22"/>
      <c r="H78" s="22"/>
      <c r="I78" s="22"/>
      <c r="J78" s="31"/>
      <c r="K78" s="31"/>
      <c r="L78" s="22"/>
      <c r="N78" s="26" t="s">
        <v>306</v>
      </c>
    </row>
    <row r="79" spans="1:14" ht="10.5">
      <c r="A79" s="23">
        <v>73</v>
      </c>
      <c r="B79" s="6" t="s">
        <v>120</v>
      </c>
      <c r="C79" s="26" t="s">
        <v>243</v>
      </c>
      <c r="D79" s="29">
        <v>0</v>
      </c>
      <c r="F79" s="22">
        <f>ROUND((F25+F33+F38+F45+F51+F56+F63+F67+F72),2)</f>
        <v>102.09</v>
      </c>
      <c r="G79" s="22"/>
      <c r="H79" s="22"/>
      <c r="I79" s="22"/>
      <c r="J79" s="31"/>
      <c r="K79" s="31"/>
      <c r="L79" s="22"/>
      <c r="N79" s="26" t="s">
        <v>307</v>
      </c>
    </row>
    <row r="80" spans="1:14" ht="10.5">
      <c r="A80" s="23">
        <v>74</v>
      </c>
      <c r="B80" s="6" t="s">
        <v>121</v>
      </c>
      <c r="C80" s="26" t="s">
        <v>308</v>
      </c>
      <c r="D80" s="29">
        <v>3.04</v>
      </c>
      <c r="F80" s="22" t="e">
        <f>ROUND((F76)*D80,2)</f>
        <v>#NAME?</v>
      </c>
      <c r="G80" s="22"/>
      <c r="H80" s="22"/>
      <c r="I80" s="22"/>
      <c r="J80" s="31"/>
      <c r="K80" s="31"/>
      <c r="L80" s="22"/>
      <c r="N80" s="26" t="s">
        <v>309</v>
      </c>
    </row>
    <row r="81" spans="1:14" ht="10.5">
      <c r="A81" s="23">
        <v>75</v>
      </c>
      <c r="B81" s="6" t="s">
        <v>122</v>
      </c>
      <c r="C81" s="26" t="s">
        <v>310</v>
      </c>
      <c r="D81" s="29">
        <v>18</v>
      </c>
      <c r="F81" s="22" t="e">
        <f>ROUND((F80)*D81/100,2)</f>
        <v>#NAME?</v>
      </c>
      <c r="G81" s="22"/>
      <c r="H81" s="22"/>
      <c r="I81" s="22"/>
      <c r="J81" s="31"/>
      <c r="K81" s="31"/>
      <c r="L81" s="22"/>
      <c r="N81" s="26" t="s">
        <v>311</v>
      </c>
    </row>
    <row r="82" spans="1:14" ht="10.5">
      <c r="A82" s="23">
        <v>76</v>
      </c>
      <c r="B82" s="6" t="s">
        <v>123</v>
      </c>
      <c r="C82" s="26" t="s">
        <v>312</v>
      </c>
      <c r="D82" s="29">
        <v>0</v>
      </c>
      <c r="F82" s="22" t="e">
        <f>ROUND((F80+F81),2)</f>
        <v>#NAME?</v>
      </c>
      <c r="G82" s="22"/>
      <c r="H82" s="22"/>
      <c r="I82" s="22"/>
      <c r="J82" s="31"/>
      <c r="K82" s="31"/>
      <c r="L82" s="22"/>
      <c r="N82" s="26" t="s">
        <v>313</v>
      </c>
    </row>
    <row r="83" spans="1:14" ht="10.5">
      <c r="A83" s="23">
        <v>77</v>
      </c>
      <c r="B83" s="6" t="s">
        <v>124</v>
      </c>
      <c r="C83" s="26" t="s">
        <v>314</v>
      </c>
      <c r="D83" s="29">
        <v>0</v>
      </c>
      <c r="F83" s="22"/>
      <c r="G83" s="22"/>
      <c r="H83" s="22"/>
      <c r="I83" s="22"/>
      <c r="J83" s="31"/>
      <c r="K83" s="31"/>
      <c r="L83" s="22">
        <f>ROUND(SUM('Базовые цены с учетом расхода'!X6:X17),2)</f>
        <v>0</v>
      </c>
      <c r="N83" s="26" t="s">
        <v>315</v>
      </c>
    </row>
    <row r="84" spans="1:14" ht="10.5">
      <c r="A84" s="23">
        <v>78</v>
      </c>
      <c r="B84" s="6" t="s">
        <v>125</v>
      </c>
      <c r="C84" s="26" t="s">
        <v>314</v>
      </c>
      <c r="D84" s="29">
        <v>0</v>
      </c>
      <c r="F84" s="22">
        <f>ROUND(SUM('Базовые цены с учетом расхода'!C6:C17),2)</f>
        <v>150.05</v>
      </c>
      <c r="G84" s="22"/>
      <c r="H84" s="22"/>
      <c r="I84" s="22"/>
      <c r="J84" s="31"/>
      <c r="K84" s="31"/>
      <c r="L84" s="22"/>
      <c r="N84" s="26" t="s">
        <v>316</v>
      </c>
    </row>
    <row r="85" spans="1:14" ht="10.5">
      <c r="A85" s="23">
        <v>79</v>
      </c>
      <c r="B85" s="6" t="s">
        <v>126</v>
      </c>
      <c r="C85" s="26" t="s">
        <v>314</v>
      </c>
      <c r="D85" s="29">
        <v>0</v>
      </c>
      <c r="F85" s="22">
        <f>ROUND(SUM('Базовые цены с учетом расхода'!E6:E17),2)</f>
        <v>0.05</v>
      </c>
      <c r="G85" s="22"/>
      <c r="H85" s="22"/>
      <c r="I85" s="22"/>
      <c r="J85" s="31"/>
      <c r="K85" s="31"/>
      <c r="L85" s="22"/>
      <c r="N85" s="26" t="s">
        <v>317</v>
      </c>
    </row>
    <row r="86" spans="1:14" ht="10.5">
      <c r="A86" s="23">
        <v>80</v>
      </c>
      <c r="B86" s="6" t="s">
        <v>127</v>
      </c>
      <c r="C86" s="26" t="s">
        <v>312</v>
      </c>
      <c r="D86" s="29">
        <v>0</v>
      </c>
      <c r="F86" s="22">
        <f>ROUND((F84+F85),2)</f>
        <v>150.1</v>
      </c>
      <c r="G86" s="22"/>
      <c r="H86" s="22"/>
      <c r="I86" s="22"/>
      <c r="J86" s="31"/>
      <c r="K86" s="31"/>
      <c r="L86" s="22"/>
      <c r="N86" s="26" t="s">
        <v>318</v>
      </c>
    </row>
    <row r="87" spans="1:14" ht="10.5">
      <c r="A87" s="23">
        <v>81</v>
      </c>
      <c r="B87" s="6" t="s">
        <v>128</v>
      </c>
      <c r="C87" s="26" t="s">
        <v>314</v>
      </c>
      <c r="D87" s="29">
        <v>0</v>
      </c>
      <c r="F87" s="22"/>
      <c r="G87" s="22"/>
      <c r="H87" s="22"/>
      <c r="I87" s="22"/>
      <c r="J87" s="31" t="e">
        <f>ROUND(SUM('Базовые цены с учетом расхода'!I6:I17),8)</f>
        <v>#NAME?</v>
      </c>
      <c r="K87" s="31"/>
      <c r="L87" s="22"/>
      <c r="N87" s="26" t="s">
        <v>319</v>
      </c>
    </row>
    <row r="88" spans="1:14" ht="10.5">
      <c r="A88" s="23">
        <v>82</v>
      </c>
      <c r="B88" s="6" t="s">
        <v>129</v>
      </c>
      <c r="C88" s="26" t="s">
        <v>314</v>
      </c>
      <c r="D88" s="29">
        <v>0</v>
      </c>
      <c r="F88" s="22"/>
      <c r="G88" s="22"/>
      <c r="H88" s="22"/>
      <c r="I88" s="22"/>
      <c r="J88" s="31" t="e">
        <f>ROUND(SUM('Базовые цены с учетом расхода'!K6:K17),8)</f>
        <v>#NAME?</v>
      </c>
      <c r="K88" s="31"/>
      <c r="L88" s="22"/>
      <c r="N88" s="26" t="s">
        <v>320</v>
      </c>
    </row>
    <row r="89" spans="1:14" ht="10.5">
      <c r="A89" s="23">
        <v>83</v>
      </c>
      <c r="B89" s="6" t="s">
        <v>130</v>
      </c>
      <c r="C89" s="26" t="s">
        <v>312</v>
      </c>
      <c r="D89" s="29">
        <v>0</v>
      </c>
      <c r="F89" s="22"/>
      <c r="G89" s="22"/>
      <c r="H89" s="22"/>
      <c r="I89" s="22"/>
      <c r="J89" s="31" t="e">
        <f>ROUND((J87+J88),8)</f>
        <v>#NAME?</v>
      </c>
      <c r="K89" s="31"/>
      <c r="L89" s="22"/>
      <c r="N89" s="26" t="s">
        <v>321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2011-01-18T17:34:11Z</dcterms:created>
  <dcterms:modified xsi:type="dcterms:W3CDTF">2013-08-21T20:14:23Z</dcterms:modified>
  <cp:category/>
  <cp:version/>
  <cp:contentType/>
  <cp:contentStatus/>
</cp:coreProperties>
</file>