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 без нач" sheetId="2" r:id="rId2"/>
    <sheet name="Базовые цены за единицу" sheetId="3" r:id="rId3"/>
    <sheet name="Базовые цены с учетом расхода" sheetId="4" r:id="rId4"/>
    <sheet name="Начисления" sheetId="5" r:id="rId5"/>
    <sheet name="Определители" sheetId="6" r:id="rId6"/>
    <sheet name="Базовые концовки" sheetId="7" r:id="rId7"/>
  </sheets>
  <definedNames/>
  <calcPr fullCalcOnLoad="1"/>
</workbook>
</file>

<file path=xl/sharedStrings.xml><?xml version="1.0" encoding="utf-8"?>
<sst xmlns="http://schemas.openxmlformats.org/spreadsheetml/2006/main" count="836" uniqueCount="331">
  <si>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</si>
  <si>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</si>
  <si>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</si>
  <si>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</si>
  <si>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</si>
  <si>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</si>
  <si>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</si>
  <si>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(Локальный сметный расчет)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</si>
  <si>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</si>
  <si>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</si>
  <si>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</si>
  <si>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</si>
  <si>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</si>
  <si>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</si>
  <si>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</si>
  <si>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</si>
  <si>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</si>
  <si>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</si>
  <si>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</si>
  <si>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</si>
  <si>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</si>
  <si>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</si>
  <si>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</si>
  <si>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</si>
  <si>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</si>
  <si>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</si>
  <si>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</si>
  <si>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</si>
  <si>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</si>
  <si>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Е10-01-059-1
Демонтаж почтовых ящиков, шт.</t>
  </si>
  <si>
    <t>sum</t>
  </si>
  <si>
    <t>IsZPR</t>
  </si>
  <si>
    <t>sum_b</t>
  </si>
  <si>
    <t>IsZPM</t>
  </si>
  <si>
    <t>Зарплата рабочих</t>
  </si>
  <si>
    <t>Эксплуатация машин</t>
  </si>
  <si>
    <t>в т.ч. зарплата машинистов</t>
  </si>
  <si>
    <t>Материалы</t>
  </si>
  <si>
    <t>в т.ч. Вспомогательные материалы от стоимости материалов</t>
  </si>
  <si>
    <t>в т.ч. С999-9950 Ненормируемые материалы от зарплаты основных рабочих</t>
  </si>
  <si>
    <t>в т.ч. Ненормированная з.п. рабочих</t>
  </si>
  <si>
    <t>в т.ч. Ненормированная стоимость эксплуатации машин</t>
  </si>
  <si>
    <t>в т.ч. Ненормированная оплата механизаторов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</si>
  <si>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</si>
  <si>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</si>
  <si>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</si>
  <si>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</si>
  <si>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</si>
  <si>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</si>
  <si>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</si>
  <si>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</si>
  <si>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</si>
  <si>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</si>
  <si>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</si>
  <si>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</si>
  <si>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</si>
  <si>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Е46-03-002-1
Сверление кольцевыми алмазными сверлами в железобетонных конструкциях с применением охлаждающей жидкости (воды) горизонтальных отверстий глубиной 200 мм диаметром: 20 мм, 100 шт.</t>
  </si>
  <si>
    <t>3.</t>
  </si>
  <si>
    <t>Е46-03-002-17
На каждые 10 мм изменения глубины исключается к расценке: 46-03-002-1 (диаметр отверстий 20 мм), 100 шт.</t>
  </si>
  <si>
    <t>Объем: -15*48</t>
  </si>
  <si>
    <t>4.</t>
  </si>
  <si>
    <t>Е10-01-059-1
Установка почтовых ящиков (секции) и др., шт.</t>
  </si>
  <si>
    <t>5.</t>
  </si>
  <si>
    <t>С101-9001-72
Ящик почтовый 5шт(Стоимость ящика почтового 6шт, К=6/5=1,2), комплект</t>
  </si>
  <si>
    <t xml:space="preserve">   Поправки: М: *1/5*6</t>
  </si>
  <si>
    <t>6.</t>
  </si>
  <si>
    <t>Е15-04-047-20
Нанесение надписи масляной краской, 10 шт.</t>
  </si>
  <si>
    <t>7.</t>
  </si>
  <si>
    <t>Х600-2029
Погрузочно-разгрузочные работы при автомобильных перевозках-Мусор строительный, т</t>
  </si>
  <si>
    <t>8.</t>
  </si>
  <si>
    <t>С601-9010
Перевозка грузов автомобилями-самосвалами (работающими вне карьеров) на расстояние до 10 км (1-й класс груза), т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</si>
  <si>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</si>
  <si>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</si>
  <si>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</si>
  <si>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</si>
  <si>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</si>
  <si>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</si>
  <si>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</si>
  <si>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</si>
  <si>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</si>
  <si>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</si>
  <si>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</si>
  <si>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</si>
  <si>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</si>
  <si>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</si>
  <si>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</si>
  <si>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</si>
  <si>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</si>
  <si>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</si>
  <si>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</si>
  <si>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</si>
  <si>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</si>
  <si>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</si>
  <si>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(%=106 - по стр. 1, 4; %=99 - по стр. 2, 3; %=95 - по стр. 6)</t>
  </si>
  <si>
    <t>.   СМЕТНАЯ ПРИБЫЛЬ - (%=54 - по стр. 1, 4; %=60 - по стр. 2, 3; %=47 - по стр. 6)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</si>
  <si>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</si>
  <si>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</si>
  <si>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</si>
  <si>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</si>
  <si>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</si>
  <si>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</si>
  <si>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</si>
  <si>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</si>
  <si>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</si>
  <si>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</si>
  <si>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</si>
  <si>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</si>
  <si>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</si>
  <si>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</si>
  <si>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</si>
  <si>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</si>
  <si>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</si>
  <si>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</si>
  <si>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</si>
  <si>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</si>
  <si>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</si>
  <si>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</si>
  <si>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</si>
  <si>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Ст-ть ненормир.(вспомогат.) материалов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</si>
  <si>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</si>
  <si>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</si>
  <si>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</si>
  <si>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</si>
  <si>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</si>
  <si>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</si>
  <si>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ИТОГО ПО СМЕТЕ С КОЭФФ.УДОРОЖАНИЯ(ПР. МВК № 1 от 05.02.10г.)</t>
  </si>
  <si>
    <t>НДС</t>
  </si>
  <si>
    <t>ВСЕГО ПО СМЕТЕ С НДС</t>
  </si>
  <si>
    <t>Составил:</t>
  </si>
  <si>
    <t>(должность, подпись, Ф.И.О)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</si>
  <si>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</si>
  <si>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</si>
  <si>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</si>
  <si>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</si>
  <si>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</si>
  <si>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</si>
  <si>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</si>
  <si>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</si>
  <si>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</si>
  <si>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</si>
  <si>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</si>
  <si>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</si>
  <si>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</si>
  <si>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</si>
  <si>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</si>
  <si>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</si>
  <si>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</si>
  <si>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</si>
  <si>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</si>
  <si>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</si>
  <si>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</si>
  <si>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</si>
  <si>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</si>
  <si>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</si>
  <si>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</si>
  <si>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</si>
  <si>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</si>
  <si>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</si>
  <si>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</si>
  <si>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10/28 * 10/28 * 10/28 &gt;</t>
  </si>
  <si>
    <t xml:space="preserve">          установка почтовых ящиков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</si>
  <si>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</si>
  <si>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</si>
  <si>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</si>
  <si>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</si>
  <si>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</si>
  <si>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</si>
  <si>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</si>
  <si>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</si>
  <si>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</si>
  <si>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</si>
  <si>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</si>
  <si>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</si>
  <si>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</si>
  <si>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</si>
  <si>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</si>
  <si>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</si>
  <si>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</si>
  <si>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</si>
  <si>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</si>
  <si>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</si>
  <si>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</si>
  <si>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</si>
  <si>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</si>
  <si>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</si>
  <si>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</si>
  <si>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</si>
  <si>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</si>
  <si>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</si>
  <si>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</si>
  <si>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</si>
  <si>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</si>
  <si>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</si>
  <si>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</si>
  <si>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</si>
  <si>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</si>
  <si>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</si>
  <si>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</si>
  <si>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</si>
  <si>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</si>
  <si>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</si>
  <si>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</si>
  <si>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</si>
  <si>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</si>
  <si>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</si>
  <si>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</si>
  <si>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</si>
  <si>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</si>
  <si>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</si>
  <si>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</si>
  <si>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</si>
  <si>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</si>
  <si>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</si>
  <si>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</si>
  <si>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</si>
  <si>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</si>
  <si>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</si>
  <si>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</si>
  <si>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</si>
  <si>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</si>
  <si>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</si>
  <si>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</si>
  <si>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</si>
  <si>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</si>
  <si>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</si>
  <si>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</si>
  <si>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</si>
  <si>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</si>
  <si>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</si>
  <si>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</si>
  <si>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</si>
  <si>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</si>
  <si>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</si>
  <si>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</si>
  <si>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</si>
  <si>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</si>
  <si>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</si>
  <si>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</si>
  <si>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</si>
  <si>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</si>
  <si>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</si>
  <si>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</si>
  <si>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</si>
  <si>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</si>
  <si>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</si>
  <si>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</si>
  <si>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</si>
  <si>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</si>
  <si>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</si>
  <si>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</si>
  <si>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</si>
  <si>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</si>
  <si>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</si>
  <si>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</si>
  <si>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</si>
  <si>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</si>
  <si>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</si>
  <si>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</si>
  <si>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</si>
  <si>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</si>
  <si>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</si>
  <si>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</si>
  <si>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</si>
  <si>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</si>
  <si>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</si>
  <si>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</si>
  <si>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</si>
  <si>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</si>
  <si>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</si>
  <si>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</si>
  <si>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</si>
  <si>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</si>
  <si>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</si>
  <si>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</si>
  <si>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</si>
  <si>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</si>
  <si>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</si>
  <si>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</si>
  <si>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</si>
  <si>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</si>
  <si>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</si>
  <si>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</si>
  <si>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</si>
  <si>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</si>
  <si>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</si>
  <si>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</si>
  <si>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</si>
  <si>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</si>
  <si>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</si>
  <si>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</si>
  <si>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</si>
  <si>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</si>
  <si>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</si>
  <si>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</si>
  <si>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</si>
  <si>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</si>
  <si>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</si>
  <si>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</si>
  <si>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</si>
  <si>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</si>
  <si>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</si>
  <si>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</si>
  <si>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</si>
  <si>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</si>
  <si>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</si>
  <si>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</si>
  <si>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</si>
  <si>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</si>
  <si>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</si>
  <si>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</t>
  </si>
  <si>
    <t>74</t>
  </si>
  <si>
    <t>75</t>
  </si>
  <si>
    <t>76</t>
  </si>
  <si>
    <t>s</t>
  </si>
  <si>
    <t>77</t>
  </si>
  <si>
    <t>78</t>
  </si>
  <si>
    <t>79</t>
  </si>
  <si>
    <t>80</t>
  </si>
  <si>
    <t>k</t>
  </si>
  <si>
    <t>81</t>
  </si>
  <si>
    <t>%</t>
  </si>
  <si>
    <t>82</t>
  </si>
  <si>
    <t>83</t>
  </si>
  <si>
    <t>установка почтовых ящиков</t>
  </si>
  <si>
    <t>«______»____________________ 201__г.</t>
  </si>
  <si>
    <t>ИТОГО ПО СМЕТЕ С КОЭФФ.УДОРОЖАНИЯ(I квартал 2011 г.)</t>
  </si>
  <si>
    <t>Жилой дом 9 этажей,36 штук в комплектах по 6 штук.</t>
  </si>
  <si>
    <t>ЛОКАЛЬНАЯ СМЕТА № 1</t>
  </si>
  <si>
    <t xml:space="preserve">   Начисления: Н3(ЭМ)= 0.6, Н4(ЗПМ)= 0.6, Н5(ОЗП)= 0.6, Н48(М)= 0</t>
  </si>
  <si>
    <t xml:space="preserve">   Начисления: Н3(ЭМ)= 1.25, Н4(ЗПМ)= 1.25, Н5(ОЗП)= 1.15</t>
  </si>
  <si>
    <t xml:space="preserve">   Начисления: Н5(ОЗП)= 1.15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</si>
</sst>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\ ###.#0"/>
    <numFmt numFmtId="166" formatCode="##0"/>
    <numFmt numFmtId="167" formatCode="#,##0.00;\-#,##0.00;"/>
    <numFmt numFmtId="168" formatCode="#,##0.00;\-#,##0.00;#,##0.00"/>
    <numFmt numFmtId="169" formatCode="#,##0.00000000;\-#,##0.00000000;#,##0.00000000"/>
    <numFmt numFmtId="170" formatCode="#,##0.00######################"/>
  </numFmts>
  <fonts count="23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17" borderId="0" applyNumberFormat="0" applyBorder="0" applyAlignment="0" applyProtection="0"/>
  </cellStyleXfs>
  <cellXfs count="73">
    <xf numFmtId="0" fontId="0" fillId="0" borderId="0" xfId="0" applyAlignment="1" applyProtection="1">
      <alignment/>
      <protection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top" wrapText="1"/>
    </xf>
    <xf numFmtId="167" fontId="3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168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/>
    </xf>
    <xf numFmtId="167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8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6" borderId="0" xfId="0" applyNumberFormat="1" applyFont="1" applyFill="1" applyBorder="1" applyAlignment="1">
      <alignment horizontal="right" vertical="top"/>
    </xf>
    <xf numFmtId="16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6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165" fontId="2" fillId="0" borderId="0" xfId="0" applyNumberFormat="1" applyFont="1" applyAlignment="1">
      <alignment horizontal="right" vertical="top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top"/>
    </xf>
    <xf numFmtId="49" fontId="0" fillId="0" borderId="14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167" fontId="2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 wrapText="1"/>
    </xf>
    <xf numFmtId="49" fontId="0" fillId="0" borderId="14" xfId="0" applyNumberForma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64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  <xf numFmtId="49" fontId="2" fillId="6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6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70" fontId="0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66"/>
  <sheetViews>
    <sheetView tabSelected="1" zoomScalePageLayoutView="0" workbookViewId="0" topLeftCell="A19">
      <selection activeCell="D198" sqref="D198"/>
    </sheetView>
  </sheetViews>
  <sheetFormatPr defaultColWidth="9.140625" defaultRowHeight="10.5"/>
  <cols>
    <col min="1" max="1" width="4.140625" style="1" customWidth="1"/>
    <col min="2" max="2" width="47.8515625" style="1" customWidth="1"/>
    <col min="3" max="3" width="11.2812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>
      <c r="A3" s="49" t="s">
        <v>1</v>
      </c>
      <c r="B3" s="49"/>
      <c r="C3" s="49"/>
      <c r="D3" s="49"/>
      <c r="F3" s="49" t="s">
        <v>2</v>
      </c>
      <c r="G3" s="49"/>
      <c r="H3" s="49"/>
      <c r="I3" s="49"/>
    </row>
    <row r="4" spans="1:9" ht="10.5">
      <c r="A4" s="48" t="s">
        <v>3</v>
      </c>
      <c r="B4" s="48"/>
      <c r="C4" s="37">
        <f>F259</f>
        <v>16051.91</v>
      </c>
      <c r="D4" s="5" t="s">
        <v>4</v>
      </c>
      <c r="F4" s="48" t="s">
        <v>3</v>
      </c>
      <c r="G4" s="48"/>
      <c r="H4" s="37">
        <f>F259</f>
        <v>16051.91</v>
      </c>
      <c r="I4" s="5" t="s">
        <v>4</v>
      </c>
    </row>
    <row r="5" spans="1:9" ht="10.5">
      <c r="A5" s="43"/>
      <c r="B5" s="43"/>
      <c r="C5" s="43"/>
      <c r="D5" s="43"/>
      <c r="F5" s="43"/>
      <c r="G5" s="43"/>
      <c r="H5" s="43"/>
      <c r="I5" s="43"/>
    </row>
    <row r="6" spans="1:9" ht="10.5">
      <c r="A6" s="43"/>
      <c r="B6" s="43"/>
      <c r="C6" s="43"/>
      <c r="D6" s="43"/>
      <c r="F6" s="58"/>
      <c r="G6" s="58"/>
      <c r="H6" s="58"/>
      <c r="I6" s="58"/>
    </row>
    <row r="7" spans="1:9" ht="9.75" customHeight="1">
      <c r="A7" s="48" t="s">
        <v>5</v>
      </c>
      <c r="B7" s="48"/>
      <c r="C7" s="48"/>
      <c r="D7" s="48"/>
      <c r="F7" s="59"/>
      <c r="G7" s="59"/>
      <c r="H7" s="59"/>
      <c r="I7" s="59"/>
    </row>
    <row r="8" spans="1:9" ht="10.5">
      <c r="A8" s="43"/>
      <c r="B8" s="43"/>
      <c r="C8" s="43"/>
      <c r="D8" s="43"/>
      <c r="F8" s="43"/>
      <c r="G8" s="43"/>
      <c r="H8" s="43"/>
      <c r="I8" s="43"/>
    </row>
    <row r="9" spans="1:9" ht="9.75" customHeight="1">
      <c r="A9" s="60" t="s">
        <v>324</v>
      </c>
      <c r="B9" s="48"/>
      <c r="C9" s="48"/>
      <c r="D9" s="48"/>
      <c r="F9" s="60" t="s">
        <v>324</v>
      </c>
      <c r="G9" s="48"/>
      <c r="H9" s="48"/>
      <c r="I9" s="48"/>
    </row>
    <row r="12" spans="2:3" ht="10.5">
      <c r="B12" s="6" t="s">
        <v>6</v>
      </c>
      <c r="C12" s="36" t="s">
        <v>326</v>
      </c>
    </row>
    <row r="13" spans="1:10" ht="10.5">
      <c r="A13" s="61" t="s">
        <v>327</v>
      </c>
      <c r="B13" s="61"/>
      <c r="C13" s="61"/>
      <c r="D13" s="61"/>
      <c r="E13" s="61"/>
      <c r="F13" s="61"/>
      <c r="G13" s="61"/>
      <c r="H13" s="61"/>
      <c r="I13" s="61"/>
      <c r="J13" s="61"/>
    </row>
    <row r="14" spans="1:10" ht="10.5">
      <c r="A14" s="62" t="s">
        <v>7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10.5">
      <c r="A15" s="63" t="s">
        <v>323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2:3" ht="10.5">
      <c r="B16" s="6" t="s">
        <v>8</v>
      </c>
      <c r="C16" s="7" t="s">
        <v>9</v>
      </c>
    </row>
    <row r="17" spans="7:10" ht="10.5">
      <c r="G17" s="6" t="s">
        <v>10</v>
      </c>
      <c r="H17" s="57" t="str">
        <f>TEXT((F246)/1000,"# ##0"&amp;GetSeparator()&amp;"000")</f>
        <v> 3,628</v>
      </c>
      <c r="I17" s="57"/>
      <c r="J17" s="9" t="s">
        <v>11</v>
      </c>
    </row>
    <row r="18" spans="7:10" ht="10.5">
      <c r="G18" s="6" t="s">
        <v>12</v>
      </c>
      <c r="H18" s="57" t="str">
        <f>TEXT((J256)/1000,"# ##0"&amp;GetSeparator()&amp;"000")</f>
        <v> 0,032</v>
      </c>
      <c r="I18" s="57"/>
      <c r="J18" s="9" t="s">
        <v>13</v>
      </c>
    </row>
    <row r="19" spans="7:10" ht="10.5">
      <c r="G19" s="6" t="s">
        <v>14</v>
      </c>
      <c r="H19" s="57" t="str">
        <f>TEXT((F253)/1000,"# ##0"&amp;GetSeparator()&amp;"000")</f>
        <v> 0,358</v>
      </c>
      <c r="I19" s="57"/>
      <c r="J19" s="9" t="s">
        <v>11</v>
      </c>
    </row>
    <row r="20" spans="1:10" ht="10.5">
      <c r="A20" s="51" t="s">
        <v>15</v>
      </c>
      <c r="B20" s="51"/>
      <c r="C20" s="51"/>
      <c r="D20" s="51"/>
      <c r="E20" s="51"/>
      <c r="F20" s="51"/>
      <c r="G20" s="51"/>
      <c r="H20" s="51"/>
      <c r="I20" s="51"/>
      <c r="J20" s="51"/>
    </row>
    <row r="21" ht="4.5" customHeight="1"/>
    <row r="22" spans="1:10" ht="33" customHeight="1">
      <c r="A22" s="53" t="s">
        <v>16</v>
      </c>
      <c r="B22" s="53" t="s">
        <v>17</v>
      </c>
      <c r="C22" s="53" t="s">
        <v>18</v>
      </c>
      <c r="D22" s="38" t="s">
        <v>19</v>
      </c>
      <c r="E22" s="52"/>
      <c r="F22" s="38" t="s">
        <v>20</v>
      </c>
      <c r="G22" s="56"/>
      <c r="H22" s="52"/>
      <c r="I22" s="38" t="s">
        <v>21</v>
      </c>
      <c r="J22" s="52"/>
    </row>
    <row r="23" spans="1:10" ht="10.5" customHeight="1">
      <c r="A23" s="54"/>
      <c r="B23" s="54"/>
      <c r="C23" s="54"/>
      <c r="D23" s="10" t="s">
        <v>22</v>
      </c>
      <c r="E23" s="10" t="s">
        <v>23</v>
      </c>
      <c r="F23" s="53" t="s">
        <v>22</v>
      </c>
      <c r="G23" s="53" t="s">
        <v>24</v>
      </c>
      <c r="H23" s="10" t="s">
        <v>23</v>
      </c>
      <c r="I23" s="38" t="s">
        <v>25</v>
      </c>
      <c r="J23" s="52"/>
    </row>
    <row r="24" spans="1:10" ht="21.75" customHeight="1">
      <c r="A24" s="55"/>
      <c r="B24" s="55"/>
      <c r="C24" s="55"/>
      <c r="D24" s="10" t="s">
        <v>24</v>
      </c>
      <c r="E24" s="10" t="s">
        <v>26</v>
      </c>
      <c r="F24" s="55"/>
      <c r="G24" s="55"/>
      <c r="H24" s="10" t="s">
        <v>26</v>
      </c>
      <c r="I24" s="10" t="s">
        <v>27</v>
      </c>
      <c r="J24" s="10" t="s">
        <v>22</v>
      </c>
    </row>
    <row r="25" spans="1:10" ht="10.5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</row>
    <row r="26" spans="1:14" ht="10.5">
      <c r="A26" s="48" t="s">
        <v>28</v>
      </c>
      <c r="B26" s="49" t="s">
        <v>29</v>
      </c>
      <c r="C26" s="43">
        <v>36</v>
      </c>
      <c r="D26" s="12">
        <f>'Базовые цены за единицу'!B6</f>
        <v>6.22</v>
      </c>
      <c r="E26" s="12">
        <f>'Базовые цены за единицу'!D6</f>
        <v>1.65</v>
      </c>
      <c r="F26" s="47">
        <f>'Базовые цены с учетом расхода'!B6</f>
        <v>223.92</v>
      </c>
      <c r="G26" s="47">
        <f>'Базовые цены с учетом расхода'!C6</f>
        <v>164.52</v>
      </c>
      <c r="H26" s="12">
        <f>'Базовые цены с учетом расхода'!D6</f>
        <v>59.4</v>
      </c>
      <c r="I26" s="14">
        <v>0.4509</v>
      </c>
      <c r="J26" s="14">
        <f>'Базовые цены с учетом расхода'!I6</f>
        <v>16.2324</v>
      </c>
      <c r="K26" s="1" t="s">
        <v>30</v>
      </c>
      <c r="L26" s="1" t="s">
        <v>31</v>
      </c>
      <c r="N26" s="47">
        <f>'Базовые цены с учетом расхода'!F6</f>
        <v>0</v>
      </c>
    </row>
    <row r="27" spans="1:14" ht="21.75" customHeight="1">
      <c r="A27" s="43"/>
      <c r="B27" s="49"/>
      <c r="C27" s="43"/>
      <c r="D27" s="13">
        <f>'Базовые цены за единицу'!C6</f>
        <v>4.57</v>
      </c>
      <c r="E27" s="13">
        <f>'Базовые цены за единицу'!E6</f>
        <v>0.11</v>
      </c>
      <c r="F27" s="47"/>
      <c r="G27" s="47"/>
      <c r="H27" s="13">
        <f>'Базовые цены с учетом расхода'!E6</f>
        <v>3.96</v>
      </c>
      <c r="I27" s="1">
        <v>0.01038</v>
      </c>
      <c r="J27" s="1">
        <f>'Базовые цены с учетом расхода'!K6</f>
        <v>0.37368</v>
      </c>
      <c r="K27" s="1" t="s">
        <v>32</v>
      </c>
      <c r="L27" s="1" t="s">
        <v>33</v>
      </c>
      <c r="N27" s="47"/>
    </row>
    <row r="28" ht="10.5">
      <c r="B28" s="15" t="s">
        <v>328</v>
      </c>
    </row>
    <row r="29" spans="2:6" ht="10.5" hidden="1">
      <c r="B29" s="16" t="s">
        <v>34</v>
      </c>
      <c r="F29" s="1">
        <v>164.52</v>
      </c>
    </row>
    <row r="30" spans="2:6" ht="10.5" hidden="1">
      <c r="B30" s="16" t="s">
        <v>35</v>
      </c>
      <c r="F30" s="1">
        <v>59.4</v>
      </c>
    </row>
    <row r="31" spans="2:6" ht="10.5" hidden="1">
      <c r="B31" s="16" t="s">
        <v>36</v>
      </c>
      <c r="F31" s="1">
        <v>3.96</v>
      </c>
    </row>
    <row r="32" ht="10.5" hidden="1">
      <c r="B32" s="16" t="s">
        <v>37</v>
      </c>
    </row>
    <row r="33" ht="21" hidden="1">
      <c r="B33" s="16" t="s">
        <v>38</v>
      </c>
    </row>
    <row r="34" ht="21" hidden="1">
      <c r="B34" s="16" t="s">
        <v>39</v>
      </c>
    </row>
    <row r="35" ht="10.5" hidden="1">
      <c r="B35" s="16" t="s">
        <v>40</v>
      </c>
    </row>
    <row r="36" ht="21" hidden="1">
      <c r="B36" s="16" t="s">
        <v>41</v>
      </c>
    </row>
    <row r="37" ht="10.5" hidden="1">
      <c r="B37" s="16" t="s">
        <v>42</v>
      </c>
    </row>
    <row r="38" spans="2:12" ht="10.5" hidden="1">
      <c r="B38" s="16" t="s">
        <v>43</v>
      </c>
      <c r="C38" s="1">
        <v>106</v>
      </c>
      <c r="F38" s="17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178.59</v>
      </c>
      <c r="L38" s="4" t="s">
        <v>44</v>
      </c>
    </row>
    <row r="39" spans="2:12" ht="10.5" hidden="1">
      <c r="B39" s="16" t="s">
        <v>45</v>
      </c>
      <c r="C39" s="1">
        <v>106</v>
      </c>
      <c r="F39" s="17">
        <f>IF('Базовые цены с учетом расхода'!P6&gt;0,'Базовые цены с учетом расхода'!P6,IF('Базовые цены с учетом расхода'!P6&lt;0,'Базовые цены с учетом расхода'!P6,""))</f>
        <v>174.24</v>
      </c>
      <c r="L39" s="4" t="s">
        <v>46</v>
      </c>
    </row>
    <row r="40" spans="2:12" ht="10.5" hidden="1">
      <c r="B40" s="16" t="s">
        <v>47</v>
      </c>
      <c r="C40" s="1">
        <v>106</v>
      </c>
      <c r="F40" s="17">
        <f>IF('Базовые цены с учетом расхода'!Q6&gt;0,'Базовые цены с учетом расхода'!Q6,IF('Базовые цены с учетом расхода'!Q6&lt;0,'Базовые цены с учетом расхода'!Q6,""))</f>
        <v>4.32</v>
      </c>
      <c r="L40" s="4" t="s">
        <v>48</v>
      </c>
    </row>
    <row r="41" spans="2:12" ht="10.5" hidden="1">
      <c r="B41" s="16" t="s">
        <v>49</v>
      </c>
      <c r="C41" s="1">
        <v>54</v>
      </c>
      <c r="F41" s="17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90.98</v>
      </c>
      <c r="L41" s="4" t="s">
        <v>50</v>
      </c>
    </row>
    <row r="42" spans="2:12" ht="10.5" hidden="1">
      <c r="B42" s="16" t="s">
        <v>51</v>
      </c>
      <c r="C42" s="1">
        <v>54</v>
      </c>
      <c r="F42" s="17">
        <f>IF('Базовые цены с учетом расхода'!R6&gt;0,'Базовые цены с учетом расхода'!R6,IF('Базовые цены с учетом расхода'!R6&lt;0,'Базовые цены с учетом расхода'!R6,""))</f>
        <v>88.92</v>
      </c>
      <c r="L42" s="4" t="s">
        <v>52</v>
      </c>
    </row>
    <row r="43" spans="2:12" ht="10.5" hidden="1">
      <c r="B43" s="16" t="s">
        <v>53</v>
      </c>
      <c r="C43" s="1">
        <v>54</v>
      </c>
      <c r="F43" s="17">
        <f>IF('Базовые цены с учетом расхода'!S6&gt;0,'Базовые цены с учетом расхода'!S6,IF('Базовые цены с учетом расхода'!S6&lt;0,'Базовые цены с учетом расхода'!S6,""))</f>
        <v>2.16</v>
      </c>
      <c r="L43" s="4" t="s">
        <v>54</v>
      </c>
    </row>
    <row r="44" spans="1:10" ht="10.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4" ht="10.5">
      <c r="A45" s="48" t="s">
        <v>55</v>
      </c>
      <c r="B45" s="49" t="s">
        <v>56</v>
      </c>
      <c r="C45" s="43">
        <v>0.48</v>
      </c>
      <c r="D45" s="12">
        <f>'Базовые цены за единицу'!B7</f>
        <v>1968.74</v>
      </c>
      <c r="E45" s="12">
        <f>'Базовые цены за единицу'!D7</f>
        <v>645.09</v>
      </c>
      <c r="F45" s="47">
        <f>'Базовые цены с учетом расхода'!B7</f>
        <v>944.99</v>
      </c>
      <c r="G45" s="47">
        <f>'Базовые цены с учетом расхода'!C7</f>
        <v>136.11</v>
      </c>
      <c r="H45" s="12">
        <f>'Базовые цены с учетом расхода'!D7</f>
        <v>309.64</v>
      </c>
      <c r="I45" s="14">
        <v>23.3</v>
      </c>
      <c r="J45" s="14">
        <f>'Базовые цены с учетом расхода'!I7</f>
        <v>11.184</v>
      </c>
      <c r="K45" s="1" t="s">
        <v>30</v>
      </c>
      <c r="L45" s="1" t="s">
        <v>31</v>
      </c>
      <c r="N45" s="47">
        <f>'Базовые цены с учетом расхода'!F7</f>
        <v>499.24</v>
      </c>
    </row>
    <row r="46" spans="1:14" ht="66" customHeight="1">
      <c r="A46" s="43"/>
      <c r="B46" s="49"/>
      <c r="C46" s="43"/>
      <c r="D46" s="13">
        <f>'Базовые цены за единицу'!C7</f>
        <v>283.56</v>
      </c>
      <c r="E46" s="13">
        <f>'Базовые цены за единицу'!E7</f>
        <v>308.44</v>
      </c>
      <c r="F46" s="47"/>
      <c r="G46" s="47"/>
      <c r="H46" s="13">
        <f>'Базовые цены с учетом расхода'!E7</f>
        <v>148.05</v>
      </c>
      <c r="I46" s="1">
        <v>22</v>
      </c>
      <c r="J46" s="1">
        <f>'Базовые цены с учетом расхода'!K7</f>
        <v>10.56</v>
      </c>
      <c r="K46" s="1" t="s">
        <v>32</v>
      </c>
      <c r="L46" s="1" t="s">
        <v>33</v>
      </c>
      <c r="N46" s="47"/>
    </row>
    <row r="47" spans="2:6" ht="10.5" hidden="1">
      <c r="B47" s="16" t="s">
        <v>34</v>
      </c>
      <c r="F47" s="1">
        <v>136.11</v>
      </c>
    </row>
    <row r="48" spans="2:6" ht="10.5" hidden="1">
      <c r="B48" s="16" t="s">
        <v>35</v>
      </c>
      <c r="F48" s="1">
        <v>309.64</v>
      </c>
    </row>
    <row r="49" spans="2:6" ht="10.5" hidden="1">
      <c r="B49" s="16" t="s">
        <v>36</v>
      </c>
      <c r="F49" s="1">
        <v>148.05</v>
      </c>
    </row>
    <row r="50" spans="2:6" ht="10.5" hidden="1">
      <c r="B50" s="16" t="s">
        <v>37</v>
      </c>
      <c r="F50" s="1">
        <v>499.24</v>
      </c>
    </row>
    <row r="51" ht="21" hidden="1">
      <c r="B51" s="16" t="s">
        <v>38</v>
      </c>
    </row>
    <row r="52" ht="21" hidden="1">
      <c r="B52" s="16" t="s">
        <v>39</v>
      </c>
    </row>
    <row r="53" ht="10.5" hidden="1">
      <c r="B53" s="16" t="s">
        <v>40</v>
      </c>
    </row>
    <row r="54" ht="21" hidden="1">
      <c r="B54" s="16" t="s">
        <v>41</v>
      </c>
    </row>
    <row r="55" ht="10.5" hidden="1">
      <c r="B55" s="16" t="s">
        <v>42</v>
      </c>
    </row>
    <row r="56" spans="2:12" ht="10.5" hidden="1">
      <c r="B56" s="16" t="s">
        <v>43</v>
      </c>
      <c r="C56" s="1">
        <v>99</v>
      </c>
      <c r="F56" s="17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281.32</v>
      </c>
      <c r="L56" s="4" t="s">
        <v>44</v>
      </c>
    </row>
    <row r="57" spans="2:12" ht="10.5" hidden="1">
      <c r="B57" s="16" t="s">
        <v>45</v>
      </c>
      <c r="C57" s="1">
        <v>99</v>
      </c>
      <c r="F57" s="17">
        <f>IF('Базовые цены с учетом расхода'!P7&gt;0,'Базовые цены с учетом расхода'!P7,IF('Базовые цены с учетом расхода'!P7&lt;0,'Базовые цены с учетом расхода'!P7,""))</f>
        <v>134.75</v>
      </c>
      <c r="L57" s="4" t="s">
        <v>46</v>
      </c>
    </row>
    <row r="58" spans="2:12" ht="10.5" hidden="1">
      <c r="B58" s="16" t="s">
        <v>47</v>
      </c>
      <c r="C58" s="1">
        <v>99</v>
      </c>
      <c r="F58" s="17">
        <f>IF('Базовые цены с учетом расхода'!Q7&gt;0,'Базовые цены с учетом расхода'!Q7,IF('Базовые цены с учетом расхода'!Q7&lt;0,'Базовые цены с учетом расхода'!Q7,""))</f>
        <v>146.57</v>
      </c>
      <c r="L58" s="4" t="s">
        <v>48</v>
      </c>
    </row>
    <row r="59" spans="2:12" ht="10.5" hidden="1">
      <c r="B59" s="16" t="s">
        <v>49</v>
      </c>
      <c r="C59" s="1">
        <v>60</v>
      </c>
      <c r="F59" s="17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170.5</v>
      </c>
      <c r="L59" s="4" t="s">
        <v>50</v>
      </c>
    </row>
    <row r="60" spans="2:12" ht="10.5" hidden="1">
      <c r="B60" s="16" t="s">
        <v>51</v>
      </c>
      <c r="C60" s="1">
        <v>60</v>
      </c>
      <c r="F60" s="17">
        <f>IF('Базовые цены с учетом расхода'!R7&gt;0,'Базовые цены с учетом расхода'!R7,IF('Базовые цены с учетом расхода'!R7&lt;0,'Базовые цены с учетом расхода'!R7,""))</f>
        <v>81.67</v>
      </c>
      <c r="L60" s="4" t="s">
        <v>52</v>
      </c>
    </row>
    <row r="61" spans="2:12" ht="10.5" hidden="1">
      <c r="B61" s="16" t="s">
        <v>53</v>
      </c>
      <c r="C61" s="1">
        <v>60</v>
      </c>
      <c r="F61" s="17">
        <f>IF('Базовые цены с учетом расхода'!S7&gt;0,'Базовые цены с учетом расхода'!S7,IF('Базовые цены с учетом расхода'!S7&lt;0,'Базовые цены с учетом расхода'!S7,""))</f>
        <v>88.83</v>
      </c>
      <c r="L61" s="4" t="s">
        <v>54</v>
      </c>
    </row>
    <row r="62" spans="1:10" ht="10.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4" ht="10.5">
      <c r="A63" s="48" t="s">
        <v>57</v>
      </c>
      <c r="B63" s="49" t="s">
        <v>58</v>
      </c>
      <c r="C63" s="43">
        <v>-7.2</v>
      </c>
      <c r="D63" s="12">
        <f>'Базовые цены за единицу'!B8</f>
        <v>89.82</v>
      </c>
      <c r="E63" s="12">
        <f>'Базовые цены за единицу'!D8</f>
        <v>23.58</v>
      </c>
      <c r="F63" s="47">
        <f>'Базовые цены с учетом расхода'!B8</f>
        <v>-646.71</v>
      </c>
      <c r="G63" s="47">
        <f>'Базовые цены с учетом расхода'!C8</f>
        <v>-102.53</v>
      </c>
      <c r="H63" s="12">
        <f>'Базовые цены с учетом расхода'!D8</f>
        <v>-169.78</v>
      </c>
      <c r="I63" s="14">
        <v>1.17</v>
      </c>
      <c r="J63" s="14">
        <f>'Базовые цены с учетом расхода'!I8</f>
        <v>-8.424</v>
      </c>
      <c r="K63" s="1" t="s">
        <v>30</v>
      </c>
      <c r="L63" s="1" t="s">
        <v>31</v>
      </c>
      <c r="N63" s="47">
        <f>'Базовые цены с учетом расхода'!F8</f>
        <v>-374.4</v>
      </c>
    </row>
    <row r="64" spans="1:14" ht="43.5" customHeight="1">
      <c r="A64" s="43"/>
      <c r="B64" s="49"/>
      <c r="C64" s="43"/>
      <c r="D64" s="13">
        <f>'Базовые цены за единицу'!C8</f>
        <v>14.24</v>
      </c>
      <c r="E64" s="13">
        <f>'Базовые цены за единицу'!E8</f>
        <v>15.42</v>
      </c>
      <c r="F64" s="47"/>
      <c r="G64" s="47"/>
      <c r="H64" s="13">
        <f>'Базовые цены с учетом расхода'!E8</f>
        <v>-111.02</v>
      </c>
      <c r="I64" s="1">
        <v>1.1</v>
      </c>
      <c r="J64" s="1">
        <f>'Базовые цены с учетом расхода'!K8</f>
        <v>-7.92</v>
      </c>
      <c r="K64" s="1" t="s">
        <v>32</v>
      </c>
      <c r="L64" s="1" t="s">
        <v>33</v>
      </c>
      <c r="N64" s="47"/>
    </row>
    <row r="65" ht="10.5">
      <c r="B65" s="19" t="s">
        <v>59</v>
      </c>
    </row>
    <row r="66" spans="2:6" ht="10.5" hidden="1">
      <c r="B66" s="16" t="s">
        <v>34</v>
      </c>
      <c r="F66" s="1">
        <v>-102.53</v>
      </c>
    </row>
    <row r="67" spans="2:6" ht="10.5" hidden="1">
      <c r="B67" s="16" t="s">
        <v>35</v>
      </c>
      <c r="F67" s="1">
        <v>-169.78</v>
      </c>
    </row>
    <row r="68" spans="2:6" ht="10.5" hidden="1">
      <c r="B68" s="16" t="s">
        <v>36</v>
      </c>
      <c r="F68" s="1">
        <v>-111.02</v>
      </c>
    </row>
    <row r="69" spans="2:6" ht="10.5" hidden="1">
      <c r="B69" s="16" t="s">
        <v>37</v>
      </c>
      <c r="F69" s="1">
        <v>-374.4</v>
      </c>
    </row>
    <row r="70" ht="21" hidden="1">
      <c r="B70" s="16" t="s">
        <v>38</v>
      </c>
    </row>
    <row r="71" ht="21" hidden="1">
      <c r="B71" s="16" t="s">
        <v>39</v>
      </c>
    </row>
    <row r="72" ht="10.5" hidden="1">
      <c r="B72" s="16" t="s">
        <v>40</v>
      </c>
    </row>
    <row r="73" ht="21" hidden="1">
      <c r="B73" s="16" t="s">
        <v>41</v>
      </c>
    </row>
    <row r="74" ht="10.5" hidden="1">
      <c r="B74" s="16" t="s">
        <v>42</v>
      </c>
    </row>
    <row r="75" spans="2:12" ht="10.5" hidden="1">
      <c r="B75" s="16" t="s">
        <v>43</v>
      </c>
      <c r="C75" s="1">
        <v>99</v>
      </c>
      <c r="F75" s="17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-211.41</v>
      </c>
      <c r="L75" s="4" t="s">
        <v>44</v>
      </c>
    </row>
    <row r="76" spans="2:12" ht="10.5" hidden="1">
      <c r="B76" s="16" t="s">
        <v>45</v>
      </c>
      <c r="C76" s="1">
        <v>99</v>
      </c>
      <c r="F76" s="17">
        <f>IF('Базовые цены с учетом расхода'!P8&gt;0,'Базовые цены с учетом расхода'!P8,IF('Базовые цены с учетом расхода'!P8&lt;0,'Базовые цены с учетом расхода'!P8,""))</f>
        <v>-101.52</v>
      </c>
      <c r="L76" s="4" t="s">
        <v>46</v>
      </c>
    </row>
    <row r="77" spans="2:12" ht="10.5" hidden="1">
      <c r="B77" s="16" t="s">
        <v>47</v>
      </c>
      <c r="C77" s="1">
        <v>99</v>
      </c>
      <c r="F77" s="17">
        <f>IF('Базовые цены с учетом расхода'!Q8&gt;0,'Базовые цены с учетом расхода'!Q8,IF('Базовые цены с учетом расхода'!Q8&lt;0,'Базовые цены с учетом расхода'!Q8,""))</f>
        <v>-109.87</v>
      </c>
      <c r="L77" s="4" t="s">
        <v>48</v>
      </c>
    </row>
    <row r="78" spans="2:12" ht="10.5" hidden="1">
      <c r="B78" s="16" t="s">
        <v>49</v>
      </c>
      <c r="C78" s="1">
        <v>60</v>
      </c>
      <c r="F78" s="17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-128.13</v>
      </c>
      <c r="L78" s="4" t="s">
        <v>50</v>
      </c>
    </row>
    <row r="79" spans="2:12" ht="10.5" hidden="1">
      <c r="B79" s="16" t="s">
        <v>51</v>
      </c>
      <c r="C79" s="1">
        <v>60</v>
      </c>
      <c r="F79" s="17">
        <f>IF('Базовые цены с учетом расхода'!R8&gt;0,'Базовые цены с учетом расхода'!R8,IF('Базовые цены с учетом расхода'!R8&lt;0,'Базовые цены с учетом расхода'!R8,""))</f>
        <v>-61.49</v>
      </c>
      <c r="L79" s="4" t="s">
        <v>52</v>
      </c>
    </row>
    <row r="80" spans="2:12" ht="10.5" hidden="1">
      <c r="B80" s="16" t="s">
        <v>53</v>
      </c>
      <c r="C80" s="1">
        <v>60</v>
      </c>
      <c r="F80" s="17">
        <f>IF('Базовые цены с учетом расхода'!S8&gt;0,'Базовые цены с учетом расхода'!S8,IF('Базовые цены с учетом расхода'!S8&lt;0,'Базовые цены с учетом расхода'!S8,""))</f>
        <v>-66.67</v>
      </c>
      <c r="L80" s="4" t="s">
        <v>54</v>
      </c>
    </row>
    <row r="81" spans="1:10" ht="10.5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4" ht="10.5">
      <c r="A82" s="48" t="s">
        <v>60</v>
      </c>
      <c r="B82" s="49" t="s">
        <v>61</v>
      </c>
      <c r="C82" s="43">
        <v>6</v>
      </c>
      <c r="D82" s="12">
        <f>'Базовые цены за единицу'!B9</f>
        <v>24.87</v>
      </c>
      <c r="E82" s="12">
        <f>'Базовые цены за единицу'!D9</f>
        <v>3.44</v>
      </c>
      <c r="F82" s="47">
        <f>'Базовые цены с учетом расхода'!B9</f>
        <v>149.22</v>
      </c>
      <c r="G82" s="47">
        <f>'Базовые цены с учетом расхода'!C9</f>
        <v>52.56</v>
      </c>
      <c r="H82" s="12">
        <f>'Базовые цены с учетом расхода'!D9</f>
        <v>20.64</v>
      </c>
      <c r="I82" s="14">
        <v>0.864225</v>
      </c>
      <c r="J82" s="14">
        <f>'Базовые цены с учетом расхода'!I9</f>
        <v>5.18535</v>
      </c>
      <c r="K82" s="1" t="s">
        <v>30</v>
      </c>
      <c r="L82" s="1" t="s">
        <v>31</v>
      </c>
      <c r="N82" s="47">
        <f>'Базовые цены с учетом расхода'!F9</f>
        <v>76.02</v>
      </c>
    </row>
    <row r="83" spans="1:14" ht="21.75" customHeight="1">
      <c r="A83" s="43"/>
      <c r="B83" s="49"/>
      <c r="C83" s="43"/>
      <c r="D83" s="13">
        <f>'Базовые цены за единицу'!C9</f>
        <v>8.76</v>
      </c>
      <c r="E83" s="13">
        <f>'Базовые цены за единицу'!E9</f>
        <v>0.24</v>
      </c>
      <c r="F83" s="47"/>
      <c r="G83" s="47"/>
      <c r="H83" s="13">
        <f>'Базовые цены с учетом расхода'!E9</f>
        <v>1.44</v>
      </c>
      <c r="I83" s="1">
        <v>0.021625</v>
      </c>
      <c r="J83" s="1">
        <f>'Базовые цены с учетом расхода'!K9</f>
        <v>0.12975</v>
      </c>
      <c r="K83" s="1" t="s">
        <v>32</v>
      </c>
      <c r="L83" s="1" t="s">
        <v>33</v>
      </c>
      <c r="N83" s="47"/>
    </row>
    <row r="84" spans="2:10" ht="10.5">
      <c r="B84" s="72" t="s">
        <v>329</v>
      </c>
      <c r="C84" s="72"/>
      <c r="D84" s="72"/>
      <c r="E84" s="72"/>
      <c r="F84" s="72"/>
      <c r="G84" s="72"/>
      <c r="H84" s="72"/>
      <c r="I84" s="72"/>
      <c r="J84" s="72"/>
    </row>
    <row r="85" spans="2:6" ht="10.5" hidden="1">
      <c r="B85" s="16" t="s">
        <v>34</v>
      </c>
      <c r="F85" s="1">
        <v>52.56</v>
      </c>
    </row>
    <row r="86" spans="2:6" ht="10.5" hidden="1">
      <c r="B86" s="16" t="s">
        <v>35</v>
      </c>
      <c r="F86" s="1">
        <v>20.64</v>
      </c>
    </row>
    <row r="87" spans="2:6" ht="10.5" hidden="1">
      <c r="B87" s="16" t="s">
        <v>36</v>
      </c>
      <c r="F87" s="1">
        <v>1.44</v>
      </c>
    </row>
    <row r="88" spans="2:6" ht="10.5" hidden="1">
      <c r="B88" s="16" t="s">
        <v>37</v>
      </c>
      <c r="F88" s="1">
        <v>76.02</v>
      </c>
    </row>
    <row r="89" ht="21" hidden="1">
      <c r="B89" s="16" t="s">
        <v>38</v>
      </c>
    </row>
    <row r="90" ht="21" hidden="1">
      <c r="B90" s="16" t="s">
        <v>39</v>
      </c>
    </row>
    <row r="91" ht="10.5" hidden="1">
      <c r="B91" s="16" t="s">
        <v>40</v>
      </c>
    </row>
    <row r="92" ht="21" hidden="1">
      <c r="B92" s="16" t="s">
        <v>41</v>
      </c>
    </row>
    <row r="93" ht="10.5" hidden="1">
      <c r="B93" s="16" t="s">
        <v>42</v>
      </c>
    </row>
    <row r="94" spans="2:12" ht="10.5" hidden="1">
      <c r="B94" s="16" t="s">
        <v>43</v>
      </c>
      <c r="C94" s="1">
        <v>106</v>
      </c>
      <c r="F94" s="17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57.24</v>
      </c>
      <c r="L94" s="4" t="s">
        <v>44</v>
      </c>
    </row>
    <row r="95" spans="2:12" ht="10.5" hidden="1">
      <c r="B95" s="16" t="s">
        <v>45</v>
      </c>
      <c r="C95" s="1">
        <v>106</v>
      </c>
      <c r="F95" s="17">
        <f>IF('Базовые цены с учетом расхода'!P9&gt;0,'Базовые цены с учетом расхода'!P9,IF('Базовые цены с учетом расхода'!P9&lt;0,'Базовые цены с учетом расхода'!P9,""))</f>
        <v>55.74</v>
      </c>
      <c r="L95" s="4" t="s">
        <v>46</v>
      </c>
    </row>
    <row r="96" spans="2:12" ht="10.5" hidden="1">
      <c r="B96" s="16" t="s">
        <v>47</v>
      </c>
      <c r="C96" s="1">
        <v>106</v>
      </c>
      <c r="F96" s="17">
        <f>IF('Базовые цены с учетом расхода'!Q9&gt;0,'Базовые цены с учетом расхода'!Q9,IF('Базовые цены с учетом расхода'!Q9&lt;0,'Базовые цены с учетом расхода'!Q9,""))</f>
        <v>1.5</v>
      </c>
      <c r="L96" s="4" t="s">
        <v>48</v>
      </c>
    </row>
    <row r="97" spans="2:12" ht="10.5" hidden="1">
      <c r="B97" s="16" t="s">
        <v>49</v>
      </c>
      <c r="C97" s="1">
        <v>54</v>
      </c>
      <c r="F97" s="17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29.16</v>
      </c>
      <c r="L97" s="4" t="s">
        <v>50</v>
      </c>
    </row>
    <row r="98" spans="2:12" ht="10.5" hidden="1">
      <c r="B98" s="16" t="s">
        <v>51</v>
      </c>
      <c r="C98" s="1">
        <v>54</v>
      </c>
      <c r="F98" s="17">
        <f>IF('Базовые цены с учетом расхода'!R9&gt;0,'Базовые цены с учетом расхода'!R9,IF('Базовые цены с учетом расхода'!R9&lt;0,'Базовые цены с учетом расхода'!R9,""))</f>
        <v>28.38</v>
      </c>
      <c r="L98" s="4" t="s">
        <v>52</v>
      </c>
    </row>
    <row r="99" spans="2:12" ht="10.5" hidden="1">
      <c r="B99" s="16" t="s">
        <v>53</v>
      </c>
      <c r="C99" s="1">
        <v>54</v>
      </c>
      <c r="F99" s="17">
        <f>IF('Базовые цены с учетом расхода'!S9&gt;0,'Базовые цены с учетом расхода'!S9,IF('Базовые цены с учетом расхода'!S9&lt;0,'Базовые цены с учетом расхода'!S9,""))</f>
        <v>0.78</v>
      </c>
      <c r="L99" s="4" t="s">
        <v>54</v>
      </c>
    </row>
    <row r="100" spans="1:10" ht="10.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4" ht="10.5">
      <c r="A101" s="48" t="s">
        <v>62</v>
      </c>
      <c r="B101" s="49" t="s">
        <v>63</v>
      </c>
      <c r="C101" s="43">
        <v>6</v>
      </c>
      <c r="D101" s="12">
        <f>'Базовые цены за единицу'!B10</f>
        <v>387.6</v>
      </c>
      <c r="E101" s="12">
        <f>'Базовые цены за единицу'!D10</f>
        <v>0</v>
      </c>
      <c r="F101" s="47">
        <f>'Базовые цены с учетом расхода'!B10</f>
        <v>2325.6</v>
      </c>
      <c r="G101" s="47">
        <f>'Базовые цены с учетом расхода'!C10</f>
        <v>0</v>
      </c>
      <c r="H101" s="12">
        <f>'Базовые цены с учетом расхода'!D10</f>
        <v>0</v>
      </c>
      <c r="I101" s="14"/>
      <c r="J101" s="14">
        <f>'Базовые цены с учетом расхода'!I10</f>
        <v>0</v>
      </c>
      <c r="K101" s="1" t="s">
        <v>30</v>
      </c>
      <c r="L101" s="1" t="s">
        <v>31</v>
      </c>
      <c r="N101" s="47">
        <f>'Базовые цены с учетом расхода'!F10</f>
        <v>2325.6</v>
      </c>
    </row>
    <row r="102" spans="1:14" ht="33" customHeight="1">
      <c r="A102" s="43"/>
      <c r="B102" s="49"/>
      <c r="C102" s="43"/>
      <c r="D102" s="13">
        <f>'Базовые цены за единицу'!C10</f>
        <v>0</v>
      </c>
      <c r="E102" s="13">
        <f>'Базовые цены за единицу'!E10</f>
        <v>0</v>
      </c>
      <c r="F102" s="47"/>
      <c r="G102" s="47"/>
      <c r="H102" s="13">
        <f>'Базовые цены с учетом расхода'!E10</f>
        <v>0</v>
      </c>
      <c r="J102" s="1">
        <f>'Базовые цены с учетом расхода'!K10</f>
        <v>0</v>
      </c>
      <c r="K102" s="1" t="s">
        <v>32</v>
      </c>
      <c r="L102" s="1" t="s">
        <v>33</v>
      </c>
      <c r="N102" s="47"/>
    </row>
    <row r="103" spans="2:10" ht="10.5">
      <c r="B103" s="50" t="s">
        <v>64</v>
      </c>
      <c r="C103" s="50"/>
      <c r="D103" s="50"/>
      <c r="E103" s="50"/>
      <c r="F103" s="50"/>
      <c r="G103" s="50"/>
      <c r="H103" s="50"/>
      <c r="I103" s="50"/>
      <c r="J103" s="50"/>
    </row>
    <row r="104" ht="10.5" hidden="1">
      <c r="B104" s="16" t="s">
        <v>34</v>
      </c>
    </row>
    <row r="105" ht="10.5" hidden="1">
      <c r="B105" s="16" t="s">
        <v>35</v>
      </c>
    </row>
    <row r="106" ht="10.5" hidden="1">
      <c r="B106" s="16" t="s">
        <v>36</v>
      </c>
    </row>
    <row r="107" spans="2:6" ht="10.5" hidden="1">
      <c r="B107" s="16" t="s">
        <v>37</v>
      </c>
      <c r="F107" s="1">
        <v>2325.6</v>
      </c>
    </row>
    <row r="108" ht="21" hidden="1">
      <c r="B108" s="16" t="s">
        <v>38</v>
      </c>
    </row>
    <row r="109" ht="21" hidden="1">
      <c r="B109" s="16" t="s">
        <v>39</v>
      </c>
    </row>
    <row r="110" ht="10.5" hidden="1">
      <c r="B110" s="16" t="s">
        <v>40</v>
      </c>
    </row>
    <row r="111" ht="21" hidden="1">
      <c r="B111" s="16" t="s">
        <v>41</v>
      </c>
    </row>
    <row r="112" ht="10.5" hidden="1">
      <c r="B112" s="16" t="s">
        <v>42</v>
      </c>
    </row>
    <row r="113" spans="2:12" ht="10.5" hidden="1">
      <c r="B113" s="16" t="s">
        <v>43</v>
      </c>
      <c r="F113" s="17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113" s="4" t="s">
        <v>44</v>
      </c>
    </row>
    <row r="114" spans="2:12" ht="10.5" hidden="1">
      <c r="B114" s="16" t="s">
        <v>45</v>
      </c>
      <c r="F114" s="17">
        <f>IF('Базовые цены с учетом расхода'!P10&gt;0,'Базовые цены с учетом расхода'!P10,IF('Базовые цены с учетом расхода'!P10&lt;0,'Базовые цены с учетом расхода'!P10,""))</f>
      </c>
      <c r="L114" s="4" t="s">
        <v>46</v>
      </c>
    </row>
    <row r="115" spans="2:12" ht="10.5" hidden="1">
      <c r="B115" s="16" t="s">
        <v>47</v>
      </c>
      <c r="F115" s="17">
        <f>IF('Базовые цены с учетом расхода'!Q10&gt;0,'Базовые цены с учетом расхода'!Q10,IF('Базовые цены с учетом расхода'!Q10&lt;0,'Базовые цены с учетом расхода'!Q10,""))</f>
      </c>
      <c r="L115" s="4" t="s">
        <v>48</v>
      </c>
    </row>
    <row r="116" spans="2:12" ht="10.5" hidden="1">
      <c r="B116" s="16" t="s">
        <v>49</v>
      </c>
      <c r="F116" s="17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116" s="4" t="s">
        <v>50</v>
      </c>
    </row>
    <row r="117" spans="2:12" ht="10.5" hidden="1">
      <c r="B117" s="16" t="s">
        <v>51</v>
      </c>
      <c r="F117" s="17">
        <f>IF('Базовые цены с учетом расхода'!R10&gt;0,'Базовые цены с учетом расхода'!R10,IF('Базовые цены с учетом расхода'!R10&lt;0,'Базовые цены с учетом расхода'!R10,""))</f>
      </c>
      <c r="L117" s="4" t="s">
        <v>52</v>
      </c>
    </row>
    <row r="118" spans="2:12" ht="10.5" hidden="1">
      <c r="B118" s="16" t="s">
        <v>53</v>
      </c>
      <c r="F118" s="17">
        <f>IF('Базовые цены с учетом расхода'!S10&gt;0,'Базовые цены с учетом расхода'!S10,IF('Базовые цены с учетом расхода'!S10&lt;0,'Базовые цены с учетом расхода'!S10,""))</f>
      </c>
      <c r="L118" s="4" t="s">
        <v>54</v>
      </c>
    </row>
    <row r="119" spans="1:10" ht="10.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4" ht="10.5">
      <c r="A120" s="48" t="s">
        <v>65</v>
      </c>
      <c r="B120" s="49" t="s">
        <v>66</v>
      </c>
      <c r="C120" s="43">
        <v>6.3</v>
      </c>
      <c r="D120" s="12">
        <f>'Базовые цены за единицу'!B11</f>
        <v>10.93</v>
      </c>
      <c r="E120" s="12">
        <f>'Базовые цены за единицу'!D11</f>
        <v>0</v>
      </c>
      <c r="F120" s="47">
        <f>'Базовые цены с учетом расхода'!B11</f>
        <v>68.86</v>
      </c>
      <c r="G120" s="47">
        <f>'Базовые цены с учетом расхода'!C11</f>
        <v>64.51</v>
      </c>
      <c r="H120" s="12">
        <f>'Базовые цены с учетом расхода'!D11</f>
        <v>0</v>
      </c>
      <c r="I120" s="14">
        <v>0.805</v>
      </c>
      <c r="J120" s="14">
        <f>'Базовые цены с учетом расхода'!I11</f>
        <v>5.0715</v>
      </c>
      <c r="K120" s="1" t="s">
        <v>30</v>
      </c>
      <c r="L120" s="1" t="s">
        <v>31</v>
      </c>
      <c r="N120" s="47">
        <f>'Базовые цены с учетом расхода'!F11</f>
        <v>4.35</v>
      </c>
    </row>
    <row r="121" spans="1:14" ht="21.75" customHeight="1">
      <c r="A121" s="43"/>
      <c r="B121" s="49"/>
      <c r="C121" s="43"/>
      <c r="D121" s="13">
        <f>'Базовые цены за единицу'!C11</f>
        <v>10.24</v>
      </c>
      <c r="E121" s="13">
        <f>'Базовые цены за единицу'!E11</f>
        <v>0</v>
      </c>
      <c r="F121" s="47"/>
      <c r="G121" s="47"/>
      <c r="H121" s="13">
        <f>'Базовые цены с учетом расхода'!E11</f>
        <v>0</v>
      </c>
      <c r="J121" s="1">
        <f>'Базовые цены с учетом расхода'!K11</f>
        <v>0</v>
      </c>
      <c r="K121" s="1" t="s">
        <v>32</v>
      </c>
      <c r="L121" s="1" t="s">
        <v>33</v>
      </c>
      <c r="N121" s="47"/>
    </row>
    <row r="122" ht="10.5">
      <c r="B122" s="15" t="s">
        <v>330</v>
      </c>
    </row>
    <row r="123" spans="2:6" ht="10.5" hidden="1">
      <c r="B123" s="16" t="s">
        <v>34</v>
      </c>
      <c r="F123" s="1">
        <v>64.51</v>
      </c>
    </row>
    <row r="124" ht="10.5" hidden="1">
      <c r="B124" s="16" t="s">
        <v>35</v>
      </c>
    </row>
    <row r="125" ht="10.5" hidden="1">
      <c r="B125" s="16" t="s">
        <v>36</v>
      </c>
    </row>
    <row r="126" spans="2:6" ht="10.5" hidden="1">
      <c r="B126" s="16" t="s">
        <v>37</v>
      </c>
      <c r="F126" s="1">
        <v>4.35</v>
      </c>
    </row>
    <row r="127" ht="21" hidden="1">
      <c r="B127" s="16" t="s">
        <v>38</v>
      </c>
    </row>
    <row r="128" ht="21" hidden="1">
      <c r="B128" s="16" t="s">
        <v>39</v>
      </c>
    </row>
    <row r="129" ht="10.5" hidden="1">
      <c r="B129" s="16" t="s">
        <v>40</v>
      </c>
    </row>
    <row r="130" ht="21" hidden="1">
      <c r="B130" s="16" t="s">
        <v>41</v>
      </c>
    </row>
    <row r="131" ht="10.5" hidden="1">
      <c r="B131" s="16" t="s">
        <v>42</v>
      </c>
    </row>
    <row r="132" spans="2:12" ht="10.5" hidden="1">
      <c r="B132" s="16" t="s">
        <v>43</v>
      </c>
      <c r="C132" s="1">
        <v>95</v>
      </c>
      <c r="F132" s="17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61.28</v>
      </c>
      <c r="L132" s="4" t="s">
        <v>44</v>
      </c>
    </row>
    <row r="133" spans="2:12" ht="10.5" hidden="1">
      <c r="B133" s="16" t="s">
        <v>45</v>
      </c>
      <c r="C133" s="1">
        <v>95</v>
      </c>
      <c r="F133" s="17">
        <f>IF('Базовые цены с учетом расхода'!P11&gt;0,'Базовые цены с учетом расхода'!P11,IF('Базовые цены с учетом расхода'!P11&lt;0,'Базовые цены с учетом расхода'!P11,""))</f>
        <v>61.3</v>
      </c>
      <c r="L133" s="4" t="s">
        <v>46</v>
      </c>
    </row>
    <row r="134" spans="2:12" ht="10.5" hidden="1">
      <c r="B134" s="16" t="s">
        <v>47</v>
      </c>
      <c r="F134" s="17">
        <f>IF('Базовые цены с учетом расхода'!Q11&gt;0,'Базовые цены с учетом расхода'!Q11,IF('Базовые цены с учетом расхода'!Q11&lt;0,'Базовые цены с учетом расхода'!Q11,""))</f>
      </c>
      <c r="L134" s="4" t="s">
        <v>48</v>
      </c>
    </row>
    <row r="135" spans="2:12" ht="10.5" hidden="1">
      <c r="B135" s="16" t="s">
        <v>49</v>
      </c>
      <c r="C135" s="1">
        <v>47</v>
      </c>
      <c r="F135" s="17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30.32</v>
      </c>
      <c r="L135" s="4" t="s">
        <v>50</v>
      </c>
    </row>
    <row r="136" spans="2:12" ht="10.5" hidden="1">
      <c r="B136" s="16" t="s">
        <v>51</v>
      </c>
      <c r="C136" s="1">
        <v>47</v>
      </c>
      <c r="F136" s="17">
        <f>IF('Базовые цены с учетом расхода'!R11&gt;0,'Базовые цены с учетом расхода'!R11,IF('Базовые цены с учетом расхода'!R11&lt;0,'Базовые цены с учетом расхода'!R11,""))</f>
        <v>30.3</v>
      </c>
      <c r="L136" s="4" t="s">
        <v>52</v>
      </c>
    </row>
    <row r="137" spans="2:12" ht="10.5" hidden="1">
      <c r="B137" s="16" t="s">
        <v>53</v>
      </c>
      <c r="F137" s="17">
        <f>IF('Базовые цены с учетом расхода'!S11&gt;0,'Базовые цены с учетом расхода'!S11,IF('Базовые цены с учетом расхода'!S11&lt;0,'Базовые цены с учетом расхода'!S11,""))</f>
      </c>
      <c r="L137" s="4" t="s">
        <v>54</v>
      </c>
    </row>
    <row r="138" spans="1:10" ht="10.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4" ht="10.5">
      <c r="A139" s="48" t="s">
        <v>67</v>
      </c>
      <c r="B139" s="49" t="s">
        <v>68</v>
      </c>
      <c r="C139" s="43">
        <v>0.07</v>
      </c>
      <c r="D139" s="12">
        <f>'Базовые цены за единицу'!B12</f>
        <v>8</v>
      </c>
      <c r="E139" s="12">
        <f>'Базовые цены за единицу'!D12</f>
        <v>8</v>
      </c>
      <c r="F139" s="47">
        <f>'Базовые цены с учетом расхода'!B12</f>
        <v>0.56</v>
      </c>
      <c r="G139" s="47">
        <f>'Базовые цены с учетом расхода'!C12</f>
        <v>0</v>
      </c>
      <c r="H139" s="12">
        <f>'Базовые цены с учетом расхода'!D12</f>
        <v>0.56</v>
      </c>
      <c r="I139" s="14"/>
      <c r="J139" s="14">
        <f>'Базовые цены с учетом расхода'!I12</f>
        <v>0</v>
      </c>
      <c r="K139" s="1" t="s">
        <v>30</v>
      </c>
      <c r="L139" s="1" t="s">
        <v>31</v>
      </c>
      <c r="N139" s="47">
        <f>'Базовые цены с учетом расхода'!F12</f>
        <v>0</v>
      </c>
    </row>
    <row r="140" spans="1:14" ht="33" customHeight="1">
      <c r="A140" s="43"/>
      <c r="B140" s="49"/>
      <c r="C140" s="43"/>
      <c r="D140" s="13">
        <f>'Базовые цены за единицу'!C12</f>
        <v>0</v>
      </c>
      <c r="E140" s="13">
        <f>'Базовые цены за единицу'!E12</f>
        <v>0</v>
      </c>
      <c r="F140" s="47"/>
      <c r="G140" s="47"/>
      <c r="H140" s="13">
        <f>'Базовые цены с учетом расхода'!E12</f>
        <v>0</v>
      </c>
      <c r="J140" s="1">
        <f>'Базовые цены с учетом расхода'!K12</f>
        <v>0</v>
      </c>
      <c r="K140" s="1" t="s">
        <v>32</v>
      </c>
      <c r="L140" s="1" t="s">
        <v>33</v>
      </c>
      <c r="N140" s="47"/>
    </row>
    <row r="141" ht="10.5" hidden="1">
      <c r="B141" s="16" t="s">
        <v>34</v>
      </c>
    </row>
    <row r="142" spans="2:6" ht="10.5" hidden="1">
      <c r="B142" s="16" t="s">
        <v>35</v>
      </c>
      <c r="F142" s="1">
        <v>0.56</v>
      </c>
    </row>
    <row r="143" ht="10.5" hidden="1">
      <c r="B143" s="16" t="s">
        <v>36</v>
      </c>
    </row>
    <row r="144" ht="10.5" hidden="1">
      <c r="B144" s="16" t="s">
        <v>37</v>
      </c>
    </row>
    <row r="145" ht="21" hidden="1">
      <c r="B145" s="16" t="s">
        <v>38</v>
      </c>
    </row>
    <row r="146" ht="21" hidden="1">
      <c r="B146" s="16" t="s">
        <v>39</v>
      </c>
    </row>
    <row r="147" ht="10.5" hidden="1">
      <c r="B147" s="16" t="s">
        <v>40</v>
      </c>
    </row>
    <row r="148" ht="21" hidden="1">
      <c r="B148" s="16" t="s">
        <v>41</v>
      </c>
    </row>
    <row r="149" ht="10.5" hidden="1">
      <c r="B149" s="16" t="s">
        <v>42</v>
      </c>
    </row>
    <row r="150" spans="2:12" ht="10.5" hidden="1">
      <c r="B150" s="16" t="s">
        <v>43</v>
      </c>
      <c r="F150" s="17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150" s="4" t="s">
        <v>44</v>
      </c>
    </row>
    <row r="151" spans="2:12" ht="10.5" hidden="1">
      <c r="B151" s="16" t="s">
        <v>45</v>
      </c>
      <c r="F151" s="17">
        <f>IF('Базовые цены с учетом расхода'!P12&gt;0,'Базовые цены с учетом расхода'!P12,IF('Базовые цены с учетом расхода'!P12&lt;0,'Базовые цены с учетом расхода'!P12,""))</f>
      </c>
      <c r="L151" s="4" t="s">
        <v>46</v>
      </c>
    </row>
    <row r="152" spans="2:12" ht="10.5" hidden="1">
      <c r="B152" s="16" t="s">
        <v>47</v>
      </c>
      <c r="F152" s="17">
        <f>IF('Базовые цены с учетом расхода'!Q12&gt;0,'Базовые цены с учетом расхода'!Q12,IF('Базовые цены с учетом расхода'!Q12&lt;0,'Базовые цены с учетом расхода'!Q12,""))</f>
      </c>
      <c r="L152" s="4" t="s">
        <v>48</v>
      </c>
    </row>
    <row r="153" spans="2:12" ht="10.5" hidden="1">
      <c r="B153" s="16" t="s">
        <v>49</v>
      </c>
      <c r="F153" s="17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153" s="4" t="s">
        <v>50</v>
      </c>
    </row>
    <row r="154" spans="2:12" ht="10.5" hidden="1">
      <c r="B154" s="16" t="s">
        <v>51</v>
      </c>
      <c r="F154" s="17">
        <f>IF('Базовые цены с учетом расхода'!R12&gt;0,'Базовые цены с учетом расхода'!R12,IF('Базовые цены с учетом расхода'!R12&lt;0,'Базовые цены с учетом расхода'!R12,""))</f>
      </c>
      <c r="L154" s="4" t="s">
        <v>52</v>
      </c>
    </row>
    <row r="155" spans="2:12" ht="10.5" hidden="1">
      <c r="B155" s="16" t="s">
        <v>53</v>
      </c>
      <c r="F155" s="17">
        <f>IF('Базовые цены с учетом расхода'!S12&gt;0,'Базовые цены с учетом расхода'!S12,IF('Базовые цены с учетом расхода'!S12&lt;0,'Базовые цены с учетом расхода'!S12,""))</f>
      </c>
      <c r="L155" s="4" t="s">
        <v>54</v>
      </c>
    </row>
    <row r="156" spans="1:10" ht="10.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4" ht="10.5">
      <c r="A157" s="48" t="s">
        <v>69</v>
      </c>
      <c r="B157" s="49" t="s">
        <v>70</v>
      </c>
      <c r="C157" s="43">
        <v>0.07</v>
      </c>
      <c r="D157" s="12">
        <f>'Базовые цены за единицу'!B13</f>
        <v>17.99</v>
      </c>
      <c r="E157" s="12">
        <f>'Базовые цены за единицу'!D13</f>
        <v>0</v>
      </c>
      <c r="F157" s="47">
        <f>'Базовые цены с учетом расхода'!B13</f>
        <v>1.26</v>
      </c>
      <c r="G157" s="47">
        <f>'Базовые цены с учетом расхода'!C13</f>
        <v>0</v>
      </c>
      <c r="H157" s="12">
        <f>'Базовые цены с учетом расхода'!D13</f>
        <v>0</v>
      </c>
      <c r="I157" s="14"/>
      <c r="J157" s="14">
        <f>'Базовые цены с учетом расхода'!I13</f>
        <v>0</v>
      </c>
      <c r="K157" s="1" t="s">
        <v>30</v>
      </c>
      <c r="L157" s="1" t="s">
        <v>31</v>
      </c>
      <c r="N157" s="47">
        <f>'Базовые цены с учетом расхода'!F13</f>
        <v>1.26</v>
      </c>
    </row>
    <row r="158" spans="1:14" ht="43.5" customHeight="1">
      <c r="A158" s="43"/>
      <c r="B158" s="49"/>
      <c r="C158" s="43"/>
      <c r="D158" s="13">
        <f>'Базовые цены за единицу'!C13</f>
        <v>0</v>
      </c>
      <c r="E158" s="13">
        <f>'Базовые цены за единицу'!E13</f>
        <v>0</v>
      </c>
      <c r="F158" s="47"/>
      <c r="G158" s="47"/>
      <c r="H158" s="13">
        <f>'Базовые цены с учетом расхода'!E13</f>
        <v>0</v>
      </c>
      <c r="J158" s="1">
        <f>'Базовые цены с учетом расхода'!K13</f>
        <v>0</v>
      </c>
      <c r="K158" s="1" t="s">
        <v>32</v>
      </c>
      <c r="L158" s="1" t="s">
        <v>33</v>
      </c>
      <c r="N158" s="47"/>
    </row>
    <row r="159" ht="10.5" hidden="1">
      <c r="B159" s="16" t="s">
        <v>34</v>
      </c>
    </row>
    <row r="160" ht="10.5" hidden="1">
      <c r="B160" s="16" t="s">
        <v>35</v>
      </c>
    </row>
    <row r="161" ht="10.5" hidden="1">
      <c r="B161" s="16" t="s">
        <v>36</v>
      </c>
    </row>
    <row r="162" spans="2:6" ht="10.5" hidden="1">
      <c r="B162" s="16" t="s">
        <v>37</v>
      </c>
      <c r="F162" s="1">
        <v>1.26</v>
      </c>
    </row>
    <row r="163" ht="21" hidden="1">
      <c r="B163" s="16" t="s">
        <v>38</v>
      </c>
    </row>
    <row r="164" ht="21" hidden="1">
      <c r="B164" s="16" t="s">
        <v>39</v>
      </c>
    </row>
    <row r="165" ht="10.5" hidden="1">
      <c r="B165" s="16" t="s">
        <v>40</v>
      </c>
    </row>
    <row r="166" ht="21" hidden="1">
      <c r="B166" s="16" t="s">
        <v>41</v>
      </c>
    </row>
    <row r="167" ht="10.5" hidden="1">
      <c r="B167" s="16" t="s">
        <v>42</v>
      </c>
    </row>
    <row r="168" spans="2:12" ht="10.5" hidden="1">
      <c r="B168" s="16" t="s">
        <v>43</v>
      </c>
      <c r="F168" s="17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168" s="4" t="s">
        <v>44</v>
      </c>
    </row>
    <row r="169" spans="2:12" ht="10.5" hidden="1">
      <c r="B169" s="16" t="s">
        <v>45</v>
      </c>
      <c r="F169" s="17">
        <f>IF('Базовые цены с учетом расхода'!P13&gt;0,'Базовые цены с учетом расхода'!P13,IF('Базовые цены с учетом расхода'!P13&lt;0,'Базовые цены с учетом расхода'!P13,""))</f>
      </c>
      <c r="L169" s="4" t="s">
        <v>46</v>
      </c>
    </row>
    <row r="170" spans="2:12" ht="10.5" hidden="1">
      <c r="B170" s="16" t="s">
        <v>47</v>
      </c>
      <c r="F170" s="17">
        <f>IF('Базовые цены с учетом расхода'!Q13&gt;0,'Базовые цены с учетом расхода'!Q13,IF('Базовые цены с учетом расхода'!Q13&lt;0,'Базовые цены с учетом расхода'!Q13,""))</f>
      </c>
      <c r="L170" s="4" t="s">
        <v>48</v>
      </c>
    </row>
    <row r="171" spans="2:12" ht="10.5" hidden="1">
      <c r="B171" s="16" t="s">
        <v>49</v>
      </c>
      <c r="F171" s="17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171" s="4" t="s">
        <v>50</v>
      </c>
    </row>
    <row r="172" spans="2:12" ht="10.5" hidden="1">
      <c r="B172" s="16" t="s">
        <v>51</v>
      </c>
      <c r="F172" s="17">
        <f>IF('Базовые цены с учетом расхода'!R13&gt;0,'Базовые цены с учетом расхода'!R13,IF('Базовые цены с учетом расхода'!R13&lt;0,'Базовые цены с учетом расхода'!R13,""))</f>
      </c>
      <c r="L172" s="4" t="s">
        <v>52</v>
      </c>
    </row>
    <row r="173" spans="2:12" ht="10.5" hidden="1">
      <c r="B173" s="16" t="s">
        <v>53</v>
      </c>
      <c r="F173" s="17">
        <f>IF('Базовые цены с учетом расхода'!S13&gt;0,'Базовые цены с учетом расхода'!S13,IF('Базовые цены с учетом расхода'!S13&lt;0,'Базовые цены с учетом расхода'!S13,""))</f>
      </c>
      <c r="L173" s="4" t="s">
        <v>54</v>
      </c>
    </row>
    <row r="174" spans="1:10" ht="10.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2:18" ht="10.5">
      <c r="B175" s="9" t="s">
        <v>71</v>
      </c>
      <c r="E175" s="46"/>
      <c r="F175" s="42">
        <f>'Базовые концовки'!F7</f>
        <v>3067.7</v>
      </c>
      <c r="G175" s="42">
        <f>'Базовые концовки'!G7</f>
        <v>315.17</v>
      </c>
      <c r="H175" s="22">
        <f>'Базовые концовки'!H7</f>
        <v>220.46</v>
      </c>
      <c r="I175" s="43"/>
      <c r="J175" s="23">
        <f>'Базовые концовки'!J7</f>
        <v>29.24925</v>
      </c>
      <c r="N175" s="42">
        <f>'Базовые концовки'!L7</f>
        <v>2532.07</v>
      </c>
      <c r="R175" s="42">
        <f>'Базовые концовки'!M7</f>
        <v>0</v>
      </c>
    </row>
    <row r="176" spans="5:18" ht="10.5">
      <c r="E176" s="46"/>
      <c r="F176" s="42"/>
      <c r="G176" s="42"/>
      <c r="H176" s="21">
        <f>'Базовые концовки'!I7</f>
        <v>42.43</v>
      </c>
      <c r="I176" s="43"/>
      <c r="J176" s="8">
        <f>'Базовые концовки'!K7</f>
        <v>3.14343</v>
      </c>
      <c r="N176" s="42"/>
      <c r="R176" s="42"/>
    </row>
    <row r="177" spans="2:18" ht="10.5" hidden="1">
      <c r="B177" s="9" t="s">
        <v>72</v>
      </c>
      <c r="D177" s="20"/>
      <c r="F177" s="21">
        <f>'Базовые концовки'!F8</f>
        <v>0</v>
      </c>
      <c r="G177" s="21">
        <f>'Базовые концовки'!G8</f>
        <v>0</v>
      </c>
      <c r="H177" s="21">
        <f>'Базовые концовки'!H8</f>
        <v>0</v>
      </c>
      <c r="J177" s="8">
        <f>'Базовые концовки'!J8</f>
        <v>0</v>
      </c>
      <c r="N177" s="21">
        <f>'Базовые концовки'!L8</f>
        <v>0</v>
      </c>
      <c r="R177" s="21">
        <f>'Базовые концовки'!M8</f>
        <v>0</v>
      </c>
    </row>
    <row r="178" spans="2:18" ht="10.5" hidden="1">
      <c r="B178" s="9" t="s">
        <v>73</v>
      </c>
      <c r="D178" s="20"/>
      <c r="F178" s="21">
        <f>'Базовые концовки'!F9</f>
        <v>0</v>
      </c>
      <c r="G178" s="21"/>
      <c r="H178" s="21"/>
      <c r="J178" s="8"/>
      <c r="N178" s="21"/>
      <c r="R178" s="21"/>
    </row>
    <row r="179" spans="2:18" ht="10.5" hidden="1">
      <c r="B179" s="9" t="s">
        <v>74</v>
      </c>
      <c r="D179" s="20"/>
      <c r="F179" s="21">
        <f>'Базовые концовки'!F10</f>
        <v>0</v>
      </c>
      <c r="G179" s="21"/>
      <c r="H179" s="21"/>
      <c r="J179" s="8"/>
      <c r="N179" s="21"/>
      <c r="R179" s="21"/>
    </row>
    <row r="180" spans="2:18" ht="10.5" hidden="1">
      <c r="B180" s="9" t="s">
        <v>75</v>
      </c>
      <c r="D180" s="20"/>
      <c r="F180" s="21">
        <f>'Базовые концовки'!F11</f>
        <v>0</v>
      </c>
      <c r="G180" s="21"/>
      <c r="H180" s="21"/>
      <c r="J180" s="8"/>
      <c r="N180" s="21"/>
      <c r="R180" s="21"/>
    </row>
    <row r="181" spans="2:18" ht="10.5" hidden="1">
      <c r="B181" s="9" t="s">
        <v>76</v>
      </c>
      <c r="D181" s="20"/>
      <c r="F181" s="21">
        <f>'Базовые концовки'!F12</f>
        <v>0</v>
      </c>
      <c r="G181" s="21"/>
      <c r="H181" s="21"/>
      <c r="J181" s="8"/>
      <c r="N181" s="21"/>
      <c r="R181" s="21"/>
    </row>
    <row r="182" spans="2:18" ht="10.5" hidden="1">
      <c r="B182" s="9" t="s">
        <v>77</v>
      </c>
      <c r="D182" s="20"/>
      <c r="F182" s="21">
        <f>'Базовые концовки'!F13</f>
        <v>0</v>
      </c>
      <c r="G182" s="21"/>
      <c r="H182" s="21"/>
      <c r="J182" s="8"/>
      <c r="N182" s="21"/>
      <c r="R182" s="21"/>
    </row>
    <row r="183" spans="2:18" ht="10.5" hidden="1">
      <c r="B183" s="9" t="s">
        <v>78</v>
      </c>
      <c r="D183" s="20"/>
      <c r="F183" s="21">
        <f>'Базовые концовки'!F14</f>
        <v>0</v>
      </c>
      <c r="G183" s="21"/>
      <c r="H183" s="21"/>
      <c r="J183" s="8"/>
      <c r="N183" s="21"/>
      <c r="R183" s="21"/>
    </row>
    <row r="184" spans="2:18" ht="10.5" hidden="1">
      <c r="B184" s="9" t="s">
        <v>79</v>
      </c>
      <c r="D184" s="20"/>
      <c r="F184" s="21">
        <f>'Базовые концовки'!F15</f>
        <v>0</v>
      </c>
      <c r="G184" s="21"/>
      <c r="H184" s="21"/>
      <c r="J184" s="8"/>
      <c r="N184" s="21"/>
      <c r="R184" s="21"/>
    </row>
    <row r="185" spans="2:18" ht="10.5" hidden="1">
      <c r="B185" s="9" t="s">
        <v>80</v>
      </c>
      <c r="D185" s="20"/>
      <c r="F185" s="21">
        <f>'Базовые концовки'!F16</f>
        <v>0</v>
      </c>
      <c r="G185" s="21"/>
      <c r="H185" s="21"/>
      <c r="J185" s="8"/>
      <c r="N185" s="21"/>
      <c r="R185" s="21"/>
    </row>
    <row r="186" spans="2:18" ht="10.5" hidden="1">
      <c r="B186" s="9" t="s">
        <v>81</v>
      </c>
      <c r="D186" s="20"/>
      <c r="F186" s="21">
        <f>'Базовые концовки'!F17</f>
        <v>0</v>
      </c>
      <c r="G186" s="21"/>
      <c r="H186" s="21"/>
      <c r="J186" s="8"/>
      <c r="N186" s="21"/>
      <c r="R186" s="21"/>
    </row>
    <row r="187" spans="2:18" ht="10.5" hidden="1">
      <c r="B187" s="9" t="s">
        <v>82</v>
      </c>
      <c r="D187" s="20"/>
      <c r="F187" s="21">
        <f>'Базовые концовки'!F18</f>
        <v>0</v>
      </c>
      <c r="G187" s="21">
        <f>'Базовые концовки'!G18</f>
        <v>0</v>
      </c>
      <c r="H187" s="21">
        <f>'Базовые концовки'!H18</f>
        <v>0</v>
      </c>
      <c r="J187" s="8">
        <f>'Базовые концовки'!J18</f>
        <v>0</v>
      </c>
      <c r="N187" s="21">
        <f>'Базовые концовки'!L18</f>
        <v>0</v>
      </c>
      <c r="R187" s="21">
        <f>'Базовые концовки'!M18</f>
        <v>0</v>
      </c>
    </row>
    <row r="188" spans="2:18" ht="10.5" hidden="1">
      <c r="B188" s="9" t="s">
        <v>83</v>
      </c>
      <c r="D188" s="20"/>
      <c r="F188" s="21"/>
      <c r="G188" s="21"/>
      <c r="H188" s="21"/>
      <c r="J188" s="8"/>
      <c r="N188" s="21"/>
      <c r="R188" s="21"/>
    </row>
    <row r="189" spans="2:18" ht="10.5" hidden="1">
      <c r="B189" s="9" t="s">
        <v>84</v>
      </c>
      <c r="D189" s="20"/>
      <c r="F189" s="21"/>
      <c r="G189" s="21">
        <f>'Базовые концовки'!G20</f>
        <v>0</v>
      </c>
      <c r="H189" s="21"/>
      <c r="J189" s="8"/>
      <c r="N189" s="21"/>
      <c r="R189" s="21"/>
    </row>
    <row r="190" spans="2:18" ht="10.5" hidden="1">
      <c r="B190" s="9" t="s">
        <v>85</v>
      </c>
      <c r="D190" s="20"/>
      <c r="F190" s="21">
        <f>'Базовые концовки'!F21</f>
        <v>0</v>
      </c>
      <c r="G190" s="21"/>
      <c r="H190" s="21"/>
      <c r="J190" s="8"/>
      <c r="N190" s="21"/>
      <c r="R190" s="21"/>
    </row>
    <row r="191" spans="2:18" ht="10.5" hidden="1">
      <c r="B191" s="9" t="s">
        <v>86</v>
      </c>
      <c r="D191" s="20"/>
      <c r="F191" s="21">
        <f>'Базовые концовки'!F22</f>
        <v>0</v>
      </c>
      <c r="G191" s="21"/>
      <c r="H191" s="21"/>
      <c r="J191" s="8"/>
      <c r="N191" s="21"/>
      <c r="R191" s="21"/>
    </row>
    <row r="192" spans="2:18" ht="10.5" hidden="1">
      <c r="B192" s="9" t="s">
        <v>87</v>
      </c>
      <c r="D192" s="20"/>
      <c r="F192" s="21">
        <f>'Базовые концовки'!F23</f>
        <v>0</v>
      </c>
      <c r="G192" s="21"/>
      <c r="H192" s="21"/>
      <c r="J192" s="8"/>
      <c r="N192" s="21"/>
      <c r="R192" s="21"/>
    </row>
    <row r="193" spans="2:18" ht="10.5" hidden="1">
      <c r="B193" s="9" t="s">
        <v>88</v>
      </c>
      <c r="D193" s="20"/>
      <c r="F193" s="21">
        <f>'Базовые концовки'!F24</f>
        <v>0</v>
      </c>
      <c r="G193" s="21"/>
      <c r="H193" s="21"/>
      <c r="J193" s="8"/>
      <c r="N193" s="21"/>
      <c r="R193" s="21"/>
    </row>
    <row r="194" spans="2:18" ht="10.5" hidden="1">
      <c r="B194" s="9" t="s">
        <v>89</v>
      </c>
      <c r="D194" s="20"/>
      <c r="F194" s="21">
        <f>'Базовые концовки'!F25</f>
        <v>0</v>
      </c>
      <c r="G194" s="21"/>
      <c r="H194" s="21"/>
      <c r="J194" s="8"/>
      <c r="N194" s="21"/>
      <c r="R194" s="21"/>
    </row>
    <row r="195" spans="2:18" ht="10.5" hidden="1">
      <c r="B195" s="9" t="s">
        <v>80</v>
      </c>
      <c r="D195" s="20"/>
      <c r="F195" s="21">
        <f>'Базовые концовки'!F26</f>
        <v>0</v>
      </c>
      <c r="G195" s="21"/>
      <c r="H195" s="21"/>
      <c r="J195" s="8"/>
      <c r="N195" s="21"/>
      <c r="R195" s="21"/>
    </row>
    <row r="196" spans="2:18" ht="10.5" hidden="1">
      <c r="B196" s="9" t="s">
        <v>90</v>
      </c>
      <c r="D196" s="20"/>
      <c r="F196" s="21">
        <f>'Базовые концовки'!F27</f>
        <v>0</v>
      </c>
      <c r="G196" s="21"/>
      <c r="H196" s="21"/>
      <c r="J196" s="8"/>
      <c r="N196" s="21"/>
      <c r="R196" s="21"/>
    </row>
    <row r="197" spans="2:18" ht="10.5">
      <c r="B197" s="9" t="s">
        <v>91</v>
      </c>
      <c r="E197" s="46"/>
      <c r="F197" s="42">
        <f>'Базовые концовки'!F28</f>
        <v>3067.7</v>
      </c>
      <c r="G197" s="42">
        <f>'Базовые концовки'!G28</f>
        <v>315.17</v>
      </c>
      <c r="H197" s="22">
        <f>'Базовые концовки'!H28</f>
        <v>220.46</v>
      </c>
      <c r="I197" s="43"/>
      <c r="J197" s="23">
        <f>'Базовые концовки'!J28</f>
        <v>29.24925</v>
      </c>
      <c r="N197" s="42">
        <f>'Базовые концовки'!L28</f>
        <v>2532.07</v>
      </c>
      <c r="R197" s="42">
        <f>'Базовые концовки'!M28</f>
        <v>0</v>
      </c>
    </row>
    <row r="198" spans="5:18" ht="10.5">
      <c r="E198" s="46"/>
      <c r="F198" s="42"/>
      <c r="G198" s="42"/>
      <c r="H198" s="21">
        <f>'Базовые концовки'!I28</f>
        <v>42.43</v>
      </c>
      <c r="I198" s="43"/>
      <c r="J198" s="8">
        <f>'Базовые концовки'!K28</f>
        <v>3.14343</v>
      </c>
      <c r="N198" s="42"/>
      <c r="R198" s="42"/>
    </row>
    <row r="199" spans="2:18" ht="10.5" hidden="1">
      <c r="B199" s="9" t="s">
        <v>83</v>
      </c>
      <c r="D199" s="20"/>
      <c r="F199" s="21"/>
      <c r="G199" s="21"/>
      <c r="H199" s="21"/>
      <c r="J199" s="8"/>
      <c r="N199" s="21"/>
      <c r="R199" s="21"/>
    </row>
    <row r="200" spans="2:18" ht="10.5">
      <c r="B200" s="9" t="s">
        <v>92</v>
      </c>
      <c r="E200" s="20"/>
      <c r="F200" s="21">
        <f>'Базовые концовки'!F30</f>
        <v>2326.86</v>
      </c>
      <c r="G200" s="21"/>
      <c r="H200" s="21"/>
      <c r="J200" s="8"/>
      <c r="N200" s="21"/>
      <c r="R200" s="21"/>
    </row>
    <row r="201" spans="2:18" ht="10.5" hidden="1">
      <c r="B201" s="9" t="s">
        <v>87</v>
      </c>
      <c r="D201" s="20"/>
      <c r="F201" s="21">
        <f>'Базовые концовки'!F31</f>
        <v>0</v>
      </c>
      <c r="G201" s="21"/>
      <c r="H201" s="21"/>
      <c r="J201" s="8"/>
      <c r="N201" s="21"/>
      <c r="R201" s="21"/>
    </row>
    <row r="202" spans="2:18" ht="21">
      <c r="B202" s="35" t="s">
        <v>93</v>
      </c>
      <c r="E202" s="20"/>
      <c r="F202" s="21">
        <f>'Базовые концовки'!F32</f>
        <v>367.02</v>
      </c>
      <c r="G202" s="21"/>
      <c r="H202" s="21"/>
      <c r="J202" s="8"/>
      <c r="N202" s="21"/>
      <c r="R202" s="21"/>
    </row>
    <row r="203" spans="2:18" ht="21">
      <c r="B203" s="35" t="s">
        <v>94</v>
      </c>
      <c r="E203" s="20"/>
      <c r="F203" s="21">
        <f>'Базовые концовки'!F33</f>
        <v>192.83</v>
      </c>
      <c r="G203" s="21"/>
      <c r="H203" s="21"/>
      <c r="J203" s="8"/>
      <c r="N203" s="21"/>
      <c r="R203" s="21"/>
    </row>
    <row r="204" spans="2:18" ht="10.5">
      <c r="B204" s="9" t="s">
        <v>95</v>
      </c>
      <c r="E204" s="20"/>
      <c r="F204" s="21">
        <f>'Базовые концовки'!F34</f>
        <v>3627.55</v>
      </c>
      <c r="G204" s="21"/>
      <c r="H204" s="21"/>
      <c r="J204" s="8"/>
      <c r="N204" s="21"/>
      <c r="R204" s="21"/>
    </row>
    <row r="205" spans="2:18" ht="10.5" hidden="1">
      <c r="B205" s="9" t="s">
        <v>96</v>
      </c>
      <c r="D205" s="20"/>
      <c r="F205" s="21">
        <f>'Базовые концовки'!F35</f>
        <v>0</v>
      </c>
      <c r="G205" s="21">
        <f>'Базовые концовки'!G35</f>
        <v>0</v>
      </c>
      <c r="H205" s="21">
        <f>'Базовые концовки'!H35</f>
        <v>0</v>
      </c>
      <c r="J205" s="8">
        <f>'Базовые концовки'!J35</f>
        <v>0</v>
      </c>
      <c r="N205" s="21">
        <f>'Базовые концовки'!L35</f>
        <v>0</v>
      </c>
      <c r="R205" s="21">
        <f>'Базовые концовки'!M35</f>
        <v>0</v>
      </c>
    </row>
    <row r="206" spans="2:18" ht="10.5" hidden="1">
      <c r="B206" s="9" t="s">
        <v>87</v>
      </c>
      <c r="D206" s="20"/>
      <c r="F206" s="21">
        <f>'Базовые концовки'!F36</f>
        <v>0</v>
      </c>
      <c r="G206" s="21"/>
      <c r="H206" s="21"/>
      <c r="J206" s="8"/>
      <c r="N206" s="21"/>
      <c r="R206" s="21"/>
    </row>
    <row r="207" spans="2:18" ht="10.5" hidden="1">
      <c r="B207" s="9" t="s">
        <v>88</v>
      </c>
      <c r="D207" s="20"/>
      <c r="F207" s="21">
        <f>'Базовые концовки'!F37</f>
        <v>0</v>
      </c>
      <c r="G207" s="21"/>
      <c r="H207" s="21"/>
      <c r="J207" s="8"/>
      <c r="N207" s="21"/>
      <c r="R207" s="21"/>
    </row>
    <row r="208" spans="2:18" ht="10.5" hidden="1">
      <c r="B208" s="9" t="s">
        <v>89</v>
      </c>
      <c r="D208" s="20"/>
      <c r="F208" s="21">
        <f>'Базовые концовки'!F38</f>
        <v>0</v>
      </c>
      <c r="G208" s="21"/>
      <c r="H208" s="21"/>
      <c r="J208" s="8"/>
      <c r="N208" s="21"/>
      <c r="R208" s="21"/>
    </row>
    <row r="209" spans="2:18" ht="10.5" hidden="1">
      <c r="B209" s="9" t="s">
        <v>97</v>
      </c>
      <c r="D209" s="20"/>
      <c r="F209" s="21">
        <f>'Базовые концовки'!F39</f>
        <v>0</v>
      </c>
      <c r="G209" s="21"/>
      <c r="H209" s="21"/>
      <c r="J209" s="8"/>
      <c r="N209" s="21"/>
      <c r="R209" s="21"/>
    </row>
    <row r="210" spans="2:18" ht="10.5" hidden="1">
      <c r="B210" s="9" t="s">
        <v>98</v>
      </c>
      <c r="D210" s="20"/>
      <c r="F210" s="21">
        <f>'Базовые концовки'!F40</f>
        <v>0</v>
      </c>
      <c r="G210" s="21">
        <f>'Базовые концовки'!G40</f>
        <v>0</v>
      </c>
      <c r="H210" s="21">
        <f>'Базовые концовки'!H40</f>
        <v>0</v>
      </c>
      <c r="J210" s="8">
        <f>'Базовые концовки'!J40</f>
        <v>0</v>
      </c>
      <c r="N210" s="21">
        <f>'Базовые концовки'!L40</f>
        <v>0</v>
      </c>
      <c r="R210" s="21">
        <f>'Базовые концовки'!M40</f>
        <v>0</v>
      </c>
    </row>
    <row r="211" spans="2:18" ht="10.5" hidden="1">
      <c r="B211" s="9" t="s">
        <v>83</v>
      </c>
      <c r="D211" s="20"/>
      <c r="F211" s="21"/>
      <c r="G211" s="21"/>
      <c r="H211" s="21"/>
      <c r="J211" s="8"/>
      <c r="N211" s="21"/>
      <c r="R211" s="21"/>
    </row>
    <row r="212" spans="2:18" ht="10.5" hidden="1">
      <c r="B212" s="9" t="s">
        <v>99</v>
      </c>
      <c r="D212" s="20"/>
      <c r="F212" s="21">
        <f>'Базовые концовки'!F42</f>
        <v>0</v>
      </c>
      <c r="G212" s="21"/>
      <c r="H212" s="21"/>
      <c r="J212" s="8"/>
      <c r="N212" s="21"/>
      <c r="R212" s="21"/>
    </row>
    <row r="213" spans="2:18" ht="10.5" hidden="1">
      <c r="B213" s="9" t="s">
        <v>87</v>
      </c>
      <c r="D213" s="20"/>
      <c r="F213" s="21">
        <f>'Базовые концовки'!F43</f>
        <v>0</v>
      </c>
      <c r="G213" s="21"/>
      <c r="H213" s="21"/>
      <c r="J213" s="8"/>
      <c r="N213" s="21"/>
      <c r="R213" s="21"/>
    </row>
    <row r="214" spans="2:18" ht="10.5" hidden="1">
      <c r="B214" s="9" t="s">
        <v>88</v>
      </c>
      <c r="D214" s="20"/>
      <c r="F214" s="21">
        <f>'Базовые концовки'!F44</f>
        <v>0</v>
      </c>
      <c r="G214" s="21"/>
      <c r="H214" s="21"/>
      <c r="J214" s="8"/>
      <c r="N214" s="21"/>
      <c r="R214" s="21"/>
    </row>
    <row r="215" spans="2:18" ht="10.5" hidden="1">
      <c r="B215" s="9" t="s">
        <v>89</v>
      </c>
      <c r="D215" s="20"/>
      <c r="F215" s="21">
        <f>'Базовые концовки'!F45</f>
        <v>0</v>
      </c>
      <c r="G215" s="21"/>
      <c r="H215" s="21"/>
      <c r="J215" s="8"/>
      <c r="N215" s="21"/>
      <c r="R215" s="21"/>
    </row>
    <row r="216" spans="2:18" ht="10.5" hidden="1">
      <c r="B216" s="9" t="s">
        <v>80</v>
      </c>
      <c r="D216" s="20"/>
      <c r="F216" s="21">
        <f>'Базовые концовки'!F46</f>
        <v>0</v>
      </c>
      <c r="G216" s="21"/>
      <c r="H216" s="21"/>
      <c r="J216" s="8"/>
      <c r="N216" s="21"/>
      <c r="R216" s="21"/>
    </row>
    <row r="217" spans="2:18" ht="10.5" hidden="1">
      <c r="B217" s="9" t="s">
        <v>100</v>
      </c>
      <c r="D217" s="20"/>
      <c r="F217" s="21">
        <f>'Базовые концовки'!F47</f>
        <v>0</v>
      </c>
      <c r="G217" s="21"/>
      <c r="H217" s="21"/>
      <c r="J217" s="8"/>
      <c r="N217" s="21"/>
      <c r="R217" s="21"/>
    </row>
    <row r="218" spans="2:18" ht="10.5" hidden="1">
      <c r="B218" s="9" t="s">
        <v>101</v>
      </c>
      <c r="D218" s="20"/>
      <c r="F218" s="21">
        <f>'Базовые концовки'!F48</f>
        <v>0</v>
      </c>
      <c r="G218" s="21">
        <f>'Базовые концовки'!G48</f>
        <v>0</v>
      </c>
      <c r="H218" s="21">
        <f>'Базовые концовки'!H48</f>
        <v>0</v>
      </c>
      <c r="J218" s="8">
        <f>'Базовые концовки'!J48</f>
        <v>0</v>
      </c>
      <c r="N218" s="21">
        <f>'Базовые концовки'!L48</f>
        <v>0</v>
      </c>
      <c r="R218" s="21">
        <f>'Базовые концовки'!M48</f>
        <v>0</v>
      </c>
    </row>
    <row r="219" spans="2:18" ht="10.5" hidden="1">
      <c r="B219" s="9" t="s">
        <v>87</v>
      </c>
      <c r="D219" s="20"/>
      <c r="F219" s="21">
        <f>'Базовые концовки'!F49</f>
        <v>0</v>
      </c>
      <c r="G219" s="21"/>
      <c r="H219" s="21"/>
      <c r="J219" s="8"/>
      <c r="N219" s="21"/>
      <c r="R219" s="21"/>
    </row>
    <row r="220" spans="2:18" ht="10.5" hidden="1">
      <c r="B220" s="9" t="s">
        <v>88</v>
      </c>
      <c r="D220" s="20"/>
      <c r="F220" s="21">
        <f>'Базовые концовки'!F50</f>
        <v>0</v>
      </c>
      <c r="G220" s="21"/>
      <c r="H220" s="21"/>
      <c r="J220" s="8"/>
      <c r="N220" s="21"/>
      <c r="R220" s="21"/>
    </row>
    <row r="221" spans="2:18" ht="10.5" hidden="1">
      <c r="B221" s="9" t="s">
        <v>89</v>
      </c>
      <c r="D221" s="20"/>
      <c r="F221" s="21">
        <f>'Базовые концовки'!F51</f>
        <v>0</v>
      </c>
      <c r="G221" s="21"/>
      <c r="H221" s="21"/>
      <c r="J221" s="8"/>
      <c r="N221" s="21"/>
      <c r="R221" s="21"/>
    </row>
    <row r="222" spans="2:18" ht="10.5" hidden="1">
      <c r="B222" s="9" t="s">
        <v>102</v>
      </c>
      <c r="D222" s="20"/>
      <c r="F222" s="21">
        <f>'Базовые концовки'!F52</f>
        <v>0</v>
      </c>
      <c r="G222" s="21"/>
      <c r="H222" s="21"/>
      <c r="J222" s="8"/>
      <c r="N222" s="21"/>
      <c r="R222" s="21"/>
    </row>
    <row r="223" spans="2:18" ht="10.5" hidden="1">
      <c r="B223" s="9" t="s">
        <v>103</v>
      </c>
      <c r="D223" s="20"/>
      <c r="F223" s="21">
        <f>'Базовые концовки'!F53</f>
        <v>0</v>
      </c>
      <c r="G223" s="21">
        <f>'Базовые концовки'!G53</f>
        <v>0</v>
      </c>
      <c r="H223" s="21">
        <f>'Базовые концовки'!H53</f>
        <v>0</v>
      </c>
      <c r="J223" s="8">
        <f>'Базовые концовки'!J53</f>
        <v>0</v>
      </c>
      <c r="N223" s="21">
        <f>'Базовые концовки'!L53</f>
        <v>0</v>
      </c>
      <c r="R223" s="21">
        <f>'Базовые концовки'!M53</f>
        <v>0</v>
      </c>
    </row>
    <row r="224" spans="2:18" ht="10.5" hidden="1">
      <c r="B224" s="9" t="s">
        <v>87</v>
      </c>
      <c r="D224" s="20"/>
      <c r="F224" s="21">
        <f>'Базовые концовки'!F54</f>
        <v>0</v>
      </c>
      <c r="G224" s="21"/>
      <c r="H224" s="21"/>
      <c r="J224" s="8"/>
      <c r="N224" s="21"/>
      <c r="R224" s="21"/>
    </row>
    <row r="225" spans="2:18" ht="10.5" hidden="1">
      <c r="B225" s="9" t="s">
        <v>88</v>
      </c>
      <c r="D225" s="20"/>
      <c r="F225" s="21">
        <f>'Базовые концовки'!F55</f>
        <v>0</v>
      </c>
      <c r="G225" s="21"/>
      <c r="H225" s="21"/>
      <c r="J225" s="8"/>
      <c r="N225" s="21"/>
      <c r="R225" s="21"/>
    </row>
    <row r="226" spans="2:18" ht="10.5" hidden="1">
      <c r="B226" s="9" t="s">
        <v>89</v>
      </c>
      <c r="D226" s="20"/>
      <c r="F226" s="21">
        <f>'Базовые концовки'!F56</f>
        <v>0</v>
      </c>
      <c r="G226" s="21"/>
      <c r="H226" s="21"/>
      <c r="J226" s="8"/>
      <c r="N226" s="21"/>
      <c r="R226" s="21"/>
    </row>
    <row r="227" spans="2:18" ht="10.5" hidden="1">
      <c r="B227" s="9" t="s">
        <v>104</v>
      </c>
      <c r="D227" s="20"/>
      <c r="F227" s="21">
        <f>'Базовые концовки'!F57</f>
        <v>0</v>
      </c>
      <c r="G227" s="21"/>
      <c r="H227" s="21"/>
      <c r="J227" s="8"/>
      <c r="N227" s="21"/>
      <c r="R227" s="21"/>
    </row>
    <row r="228" spans="2:18" ht="10.5" hidden="1">
      <c r="B228" s="9" t="s">
        <v>105</v>
      </c>
      <c r="D228" s="20"/>
      <c r="F228" s="21">
        <f>'Базовые концовки'!F58</f>
        <v>0</v>
      </c>
      <c r="G228" s="21">
        <f>'Базовые концовки'!G58</f>
        <v>0</v>
      </c>
      <c r="H228" s="21">
        <f>'Базовые концовки'!H58</f>
        <v>0</v>
      </c>
      <c r="J228" s="8">
        <f>'Базовые концовки'!J58</f>
        <v>0</v>
      </c>
      <c r="N228" s="21">
        <f>'Базовые концовки'!L58</f>
        <v>0</v>
      </c>
      <c r="R228" s="21">
        <f>'Базовые концовки'!M58</f>
        <v>0</v>
      </c>
    </row>
    <row r="229" spans="2:18" ht="10.5" hidden="1">
      <c r="B229" s="9" t="s">
        <v>83</v>
      </c>
      <c r="D229" s="20"/>
      <c r="F229" s="21"/>
      <c r="G229" s="21"/>
      <c r="H229" s="21"/>
      <c r="J229" s="8"/>
      <c r="N229" s="21"/>
      <c r="R229" s="21"/>
    </row>
    <row r="230" spans="2:18" ht="10.5" hidden="1">
      <c r="B230" s="9" t="s">
        <v>106</v>
      </c>
      <c r="D230" s="20"/>
      <c r="F230" s="21">
        <f>'Базовые концовки'!F60</f>
        <v>2326.86</v>
      </c>
      <c r="G230" s="21"/>
      <c r="H230" s="21"/>
      <c r="J230" s="8"/>
      <c r="N230" s="21"/>
      <c r="R230" s="21"/>
    </row>
    <row r="231" spans="2:18" ht="10.5" hidden="1">
      <c r="B231" s="9" t="s">
        <v>87</v>
      </c>
      <c r="D231" s="20"/>
      <c r="F231" s="21">
        <f>'Базовые концовки'!F61</f>
        <v>0</v>
      </c>
      <c r="G231" s="21"/>
      <c r="H231" s="21"/>
      <c r="J231" s="8"/>
      <c r="N231" s="21"/>
      <c r="R231" s="21"/>
    </row>
    <row r="232" spans="2:18" ht="10.5" hidden="1">
      <c r="B232" s="9" t="s">
        <v>107</v>
      </c>
      <c r="D232" s="20"/>
      <c r="F232" s="21">
        <f>'Базовые концовки'!F62</f>
        <v>0</v>
      </c>
      <c r="G232" s="21"/>
      <c r="H232" s="21"/>
      <c r="J232" s="8"/>
      <c r="N232" s="21"/>
      <c r="R232" s="21"/>
    </row>
    <row r="233" spans="2:18" ht="10.5" hidden="1">
      <c r="B233" s="9" t="s">
        <v>89</v>
      </c>
      <c r="D233" s="20"/>
      <c r="F233" s="21">
        <f>'Базовые концовки'!F63</f>
        <v>0</v>
      </c>
      <c r="G233" s="21"/>
      <c r="H233" s="21"/>
      <c r="J233" s="8"/>
      <c r="N233" s="21"/>
      <c r="R233" s="21"/>
    </row>
    <row r="234" spans="2:18" ht="10.5" hidden="1">
      <c r="B234" s="9" t="s">
        <v>108</v>
      </c>
      <c r="D234" s="20"/>
      <c r="F234" s="21">
        <f>'Базовые концовки'!F64</f>
        <v>0</v>
      </c>
      <c r="G234" s="21"/>
      <c r="H234" s="21"/>
      <c r="J234" s="8"/>
      <c r="N234" s="21"/>
      <c r="R234" s="21"/>
    </row>
    <row r="235" spans="2:18" ht="10.5" hidden="1">
      <c r="B235" s="9" t="s">
        <v>109</v>
      </c>
      <c r="D235" s="20"/>
      <c r="F235" s="21">
        <f>'Базовые концовки'!F65</f>
        <v>0</v>
      </c>
      <c r="G235" s="21">
        <f>'Базовые концовки'!G65</f>
        <v>0</v>
      </c>
      <c r="H235" s="21">
        <f>'Базовые концовки'!H65</f>
        <v>0</v>
      </c>
      <c r="J235" s="8">
        <f>'Базовые концовки'!J65</f>
        <v>0</v>
      </c>
      <c r="N235" s="21">
        <f>'Базовые концовки'!L65</f>
        <v>0</v>
      </c>
      <c r="R235" s="21">
        <f>'Базовые концовки'!M65</f>
        <v>0</v>
      </c>
    </row>
    <row r="236" spans="2:18" ht="10.5" hidden="1">
      <c r="B236" s="9" t="s">
        <v>107</v>
      </c>
      <c r="D236" s="20"/>
      <c r="F236" s="21">
        <f>'Базовые концовки'!F66</f>
        <v>0</v>
      </c>
      <c r="G236" s="21"/>
      <c r="H236" s="21"/>
      <c r="J236" s="8"/>
      <c r="N236" s="21"/>
      <c r="R236" s="21"/>
    </row>
    <row r="237" spans="2:18" ht="10.5" hidden="1">
      <c r="B237" s="9" t="s">
        <v>89</v>
      </c>
      <c r="D237" s="20"/>
      <c r="F237" s="21">
        <f>'Базовые концовки'!F67</f>
        <v>0</v>
      </c>
      <c r="G237" s="21"/>
      <c r="H237" s="21"/>
      <c r="J237" s="8"/>
      <c r="N237" s="21"/>
      <c r="R237" s="21"/>
    </row>
    <row r="238" spans="2:18" ht="10.5" hidden="1">
      <c r="B238" s="9" t="s">
        <v>110</v>
      </c>
      <c r="D238" s="20"/>
      <c r="F238" s="21">
        <f>'Базовые концовки'!F68</f>
        <v>0</v>
      </c>
      <c r="G238" s="21"/>
      <c r="H238" s="21"/>
      <c r="J238" s="8"/>
      <c r="N238" s="21"/>
      <c r="R238" s="21"/>
    </row>
    <row r="239" spans="2:18" ht="10.5" hidden="1">
      <c r="B239" s="9" t="s">
        <v>111</v>
      </c>
      <c r="D239" s="20"/>
      <c r="F239" s="21">
        <f>'Базовые концовки'!F69</f>
        <v>0</v>
      </c>
      <c r="G239" s="21">
        <f>'Базовые концовки'!G69</f>
        <v>0</v>
      </c>
      <c r="H239" s="21">
        <f>'Базовые концовки'!H69</f>
        <v>0</v>
      </c>
      <c r="J239" s="8">
        <f>'Базовые концовки'!J69</f>
        <v>0</v>
      </c>
      <c r="N239" s="21">
        <f>'Базовые концовки'!L69</f>
        <v>0</v>
      </c>
      <c r="R239" s="21">
        <f>'Базовые концовки'!M69</f>
        <v>0</v>
      </c>
    </row>
    <row r="240" spans="2:18" ht="10.5" hidden="1">
      <c r="B240" s="9" t="s">
        <v>87</v>
      </c>
      <c r="D240" s="20"/>
      <c r="F240" s="21">
        <f>'Базовые концовки'!F70</f>
        <v>0</v>
      </c>
      <c r="G240" s="21"/>
      <c r="H240" s="21"/>
      <c r="J240" s="8"/>
      <c r="N240" s="21"/>
      <c r="R240" s="21"/>
    </row>
    <row r="241" spans="2:18" ht="10.5" hidden="1">
      <c r="B241" s="9" t="s">
        <v>107</v>
      </c>
      <c r="D241" s="20"/>
      <c r="F241" s="21">
        <f>'Базовые концовки'!F71</f>
        <v>0</v>
      </c>
      <c r="G241" s="21"/>
      <c r="H241" s="21"/>
      <c r="J241" s="8"/>
      <c r="N241" s="21"/>
      <c r="R241" s="21"/>
    </row>
    <row r="242" spans="2:18" ht="10.5" hidden="1">
      <c r="B242" s="9" t="s">
        <v>89</v>
      </c>
      <c r="D242" s="20"/>
      <c r="F242" s="21">
        <f>'Базовые концовки'!F72</f>
        <v>0</v>
      </c>
      <c r="G242" s="21"/>
      <c r="H242" s="21"/>
      <c r="J242" s="8"/>
      <c r="N242" s="21"/>
      <c r="R242" s="21"/>
    </row>
    <row r="243" spans="2:18" ht="10.5" hidden="1">
      <c r="B243" s="9" t="s">
        <v>112</v>
      </c>
      <c r="D243" s="20"/>
      <c r="F243" s="21">
        <f>'Базовые концовки'!F73</f>
        <v>0</v>
      </c>
      <c r="G243" s="21"/>
      <c r="H243" s="21"/>
      <c r="J243" s="8"/>
      <c r="N243" s="21"/>
      <c r="R243" s="21"/>
    </row>
    <row r="244" spans="2:18" ht="10.5" hidden="1">
      <c r="B244" s="9" t="s">
        <v>113</v>
      </c>
      <c r="D244" s="20"/>
      <c r="F244" s="21">
        <f>'Базовые концовки'!F74</f>
        <v>0</v>
      </c>
      <c r="G244" s="21">
        <f>'Базовые концовки'!G74</f>
        <v>0</v>
      </c>
      <c r="H244" s="21">
        <f>'Базовые концовки'!H74</f>
        <v>0</v>
      </c>
      <c r="J244" s="8">
        <f>'Базовые концовки'!J74</f>
        <v>0</v>
      </c>
      <c r="N244" s="21">
        <f>'Базовые концовки'!L74</f>
        <v>0</v>
      </c>
      <c r="R244" s="21">
        <f>'Базовые концовки'!M74</f>
        <v>0</v>
      </c>
    </row>
    <row r="245" spans="2:18" ht="10.5" hidden="1">
      <c r="B245" s="9" t="s">
        <v>87</v>
      </c>
      <c r="D245" s="20"/>
      <c r="F245" s="21">
        <f>'Базовые концовки'!F75</f>
        <v>0</v>
      </c>
      <c r="G245" s="21"/>
      <c r="H245" s="21"/>
      <c r="J245" s="8"/>
      <c r="N245" s="21"/>
      <c r="R245" s="21"/>
    </row>
    <row r="246" spans="2:18" ht="10.5">
      <c r="B246" s="9" t="s">
        <v>114</v>
      </c>
      <c r="E246" s="20"/>
      <c r="F246" s="21">
        <f>'Базовые концовки'!F76</f>
        <v>3627.55</v>
      </c>
      <c r="G246" s="21">
        <f>'Базовые концовки'!G76</f>
        <v>0</v>
      </c>
      <c r="H246" s="21">
        <f>'Базовые концовки'!H76</f>
        <v>0</v>
      </c>
      <c r="J246" s="8">
        <f>'Базовые концовки'!J76</f>
        <v>0</v>
      </c>
      <c r="N246" s="21">
        <f>'Базовые концовки'!L76</f>
        <v>0</v>
      </c>
      <c r="R246" s="21">
        <f>'Базовые концовки'!M76</f>
        <v>0</v>
      </c>
    </row>
    <row r="247" spans="2:18" ht="10.5" hidden="1">
      <c r="B247" s="9" t="s">
        <v>115</v>
      </c>
      <c r="D247" s="20"/>
      <c r="F247" s="21">
        <f>'Базовые концовки'!F77</f>
        <v>0</v>
      </c>
      <c r="G247" s="21"/>
      <c r="H247" s="21"/>
      <c r="J247" s="8"/>
      <c r="N247" s="21"/>
      <c r="R247" s="21"/>
    </row>
    <row r="248" spans="2:18" ht="10.5">
      <c r="B248" s="9" t="s">
        <v>116</v>
      </c>
      <c r="E248" s="20"/>
      <c r="F248" s="21">
        <f>'Базовые концовки'!F78</f>
        <v>367.02</v>
      </c>
      <c r="G248" s="21"/>
      <c r="H248" s="21"/>
      <c r="J248" s="8"/>
      <c r="N248" s="21"/>
      <c r="R248" s="21"/>
    </row>
    <row r="249" spans="2:18" ht="10.5">
      <c r="B249" s="9" t="s">
        <v>117</v>
      </c>
      <c r="E249" s="20"/>
      <c r="F249" s="21">
        <f>'Базовые концовки'!F79</f>
        <v>192.83</v>
      </c>
      <c r="G249" s="21"/>
      <c r="H249" s="21"/>
      <c r="J249" s="8"/>
      <c r="N249" s="21"/>
      <c r="R249" s="21"/>
    </row>
    <row r="250" spans="2:18" ht="10.5" hidden="1">
      <c r="B250" s="9" t="s">
        <v>118</v>
      </c>
      <c r="D250" s="20"/>
      <c r="F250" s="21">
        <f>'Базовые концовки'!F80</f>
        <v>0</v>
      </c>
      <c r="G250" s="21"/>
      <c r="H250" s="21"/>
      <c r="J250" s="8"/>
      <c r="N250" s="21">
        <f>'Базовые концовки'!L80</f>
        <v>0</v>
      </c>
      <c r="R250" s="21"/>
    </row>
    <row r="251" spans="2:18" ht="10.5" hidden="1">
      <c r="B251" s="9" t="s">
        <v>119</v>
      </c>
      <c r="E251" s="20"/>
      <c r="F251" s="21">
        <f>'Базовые концовки'!F81</f>
        <v>315.17</v>
      </c>
      <c r="G251" s="21"/>
      <c r="H251" s="21"/>
      <c r="J251" s="8"/>
      <c r="N251" s="21"/>
      <c r="R251" s="21"/>
    </row>
    <row r="252" spans="2:18" ht="10.5" hidden="1">
      <c r="B252" s="9" t="s">
        <v>120</v>
      </c>
      <c r="E252" s="20"/>
      <c r="F252" s="21">
        <f>'Базовые концовки'!F82</f>
        <v>42.43</v>
      </c>
      <c r="G252" s="21"/>
      <c r="H252" s="21"/>
      <c r="J252" s="8"/>
      <c r="N252" s="21"/>
      <c r="R252" s="21"/>
    </row>
    <row r="253" spans="2:18" ht="10.5" hidden="1">
      <c r="B253" s="9" t="s">
        <v>121</v>
      </c>
      <c r="E253" s="20"/>
      <c r="F253" s="21">
        <f>'Базовые концовки'!F83</f>
        <v>357.6</v>
      </c>
      <c r="G253" s="21"/>
      <c r="H253" s="21"/>
      <c r="J253" s="8"/>
      <c r="N253" s="21"/>
      <c r="R253" s="21"/>
    </row>
    <row r="254" spans="2:18" ht="10.5" hidden="1">
      <c r="B254" s="9" t="s">
        <v>122</v>
      </c>
      <c r="E254" s="20"/>
      <c r="F254" s="21"/>
      <c r="G254" s="21"/>
      <c r="H254" s="21"/>
      <c r="J254" s="8">
        <f>'Базовые концовки'!J84</f>
        <v>29.24925</v>
      </c>
      <c r="N254" s="21"/>
      <c r="R254" s="21"/>
    </row>
    <row r="255" spans="2:18" ht="10.5" hidden="1">
      <c r="B255" s="9" t="s">
        <v>123</v>
      </c>
      <c r="E255" s="20"/>
      <c r="F255" s="21"/>
      <c r="G255" s="21"/>
      <c r="H255" s="21"/>
      <c r="J255" s="8">
        <f>'Базовые концовки'!J85</f>
        <v>3.14343</v>
      </c>
      <c r="N255" s="21"/>
      <c r="R255" s="21"/>
    </row>
    <row r="256" spans="2:18" ht="10.5" hidden="1">
      <c r="B256" s="9" t="s">
        <v>124</v>
      </c>
      <c r="E256" s="20"/>
      <c r="F256" s="21"/>
      <c r="G256" s="21"/>
      <c r="H256" s="21"/>
      <c r="J256" s="8">
        <f>'Базовые концовки'!J86</f>
        <v>32.39268</v>
      </c>
      <c r="N256" s="21"/>
      <c r="R256" s="21"/>
    </row>
    <row r="257" spans="2:18" ht="10.5">
      <c r="B257" s="9" t="s">
        <v>325</v>
      </c>
      <c r="E257" s="20">
        <v>3.75</v>
      </c>
      <c r="F257" s="21">
        <f>'Базовые концовки'!F87</f>
        <v>13603.31</v>
      </c>
      <c r="G257" s="21"/>
      <c r="H257" s="21"/>
      <c r="J257" s="8"/>
      <c r="N257" s="21"/>
      <c r="R257" s="21"/>
    </row>
    <row r="258" spans="2:18" ht="10.5">
      <c r="B258" s="9" t="s">
        <v>126</v>
      </c>
      <c r="E258" s="20">
        <v>18</v>
      </c>
      <c r="F258" s="21">
        <f>'Базовые концовки'!F88</f>
        <v>2448.6</v>
      </c>
      <c r="G258" s="21"/>
      <c r="H258" s="21"/>
      <c r="J258" s="8"/>
      <c r="N258" s="21"/>
      <c r="R258" s="21"/>
    </row>
    <row r="259" spans="2:18" ht="10.5">
      <c r="B259" s="9" t="s">
        <v>127</v>
      </c>
      <c r="E259" s="20"/>
      <c r="F259" s="21">
        <f>'Базовые концовки'!F89</f>
        <v>16051.91</v>
      </c>
      <c r="G259" s="21"/>
      <c r="H259" s="21"/>
      <c r="J259" s="8"/>
      <c r="N259" s="21"/>
      <c r="R259" s="21"/>
    </row>
    <row r="261" spans="2:12" ht="10.5">
      <c r="B261" s="6" t="s">
        <v>128</v>
      </c>
      <c r="C261" s="44"/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3:12" ht="10.5">
      <c r="C262" s="45" t="s">
        <v>129</v>
      </c>
      <c r="D262" s="45"/>
      <c r="E262" s="45"/>
      <c r="F262" s="45"/>
      <c r="G262" s="45"/>
      <c r="H262" s="45"/>
      <c r="I262" s="45"/>
      <c r="J262" s="45"/>
      <c r="K262" s="45"/>
      <c r="L262" s="45"/>
    </row>
    <row r="264" spans="2:12" ht="10.5">
      <c r="B264" s="6" t="s">
        <v>130</v>
      </c>
      <c r="C264" s="39"/>
      <c r="D264" s="40"/>
      <c r="E264" s="40"/>
      <c r="F264" s="40"/>
      <c r="G264" s="40"/>
      <c r="H264" s="40"/>
      <c r="I264" s="40"/>
      <c r="J264" s="40"/>
      <c r="K264" s="40"/>
      <c r="L264" s="40"/>
    </row>
    <row r="265" spans="3:12" ht="10.5">
      <c r="C265" s="41" t="s">
        <v>129</v>
      </c>
      <c r="D265" s="41"/>
      <c r="E265" s="41"/>
      <c r="F265" s="41"/>
      <c r="G265" s="41"/>
      <c r="H265" s="41"/>
      <c r="I265" s="41"/>
      <c r="J265" s="41"/>
      <c r="K265" s="41"/>
      <c r="L265" s="41"/>
    </row>
    <row r="266" ht="10.5">
      <c r="A266" s="24"/>
    </row>
  </sheetData>
  <sheetProtection/>
  <mergeCells count="96">
    <mergeCell ref="B84:J84"/>
    <mergeCell ref="A3:D3"/>
    <mergeCell ref="F3:I3"/>
    <mergeCell ref="A4:B4"/>
    <mergeCell ref="F4:G4"/>
    <mergeCell ref="A5:D5"/>
    <mergeCell ref="F5:I5"/>
    <mergeCell ref="H17:I17"/>
    <mergeCell ref="H18:I18"/>
    <mergeCell ref="A14:J14"/>
    <mergeCell ref="A15:J15"/>
    <mergeCell ref="H19:I19"/>
    <mergeCell ref="A6:D6"/>
    <mergeCell ref="F6:I6"/>
    <mergeCell ref="A7:D7"/>
    <mergeCell ref="F7:I7"/>
    <mergeCell ref="A8:D8"/>
    <mergeCell ref="F8:I8"/>
    <mergeCell ref="A9:D9"/>
    <mergeCell ref="F9:I9"/>
    <mergeCell ref="A13:J13"/>
    <mergeCell ref="D22:E22"/>
    <mergeCell ref="F23:F24"/>
    <mergeCell ref="G23:G24"/>
    <mergeCell ref="F22:H22"/>
    <mergeCell ref="A20:J20"/>
    <mergeCell ref="I22:J22"/>
    <mergeCell ref="I23:J23"/>
    <mergeCell ref="A26:A27"/>
    <mergeCell ref="B26:B27"/>
    <mergeCell ref="C26:C27"/>
    <mergeCell ref="G26:G27"/>
    <mergeCell ref="A22:A24"/>
    <mergeCell ref="B22:B24"/>
    <mergeCell ref="C22:C24"/>
    <mergeCell ref="A45:A46"/>
    <mergeCell ref="B45:B46"/>
    <mergeCell ref="C45:C46"/>
    <mergeCell ref="G45:G46"/>
    <mergeCell ref="F45:F46"/>
    <mergeCell ref="N26:N27"/>
    <mergeCell ref="F26:F27"/>
    <mergeCell ref="N45:N46"/>
    <mergeCell ref="N63:N64"/>
    <mergeCell ref="F63:F64"/>
    <mergeCell ref="N82:N83"/>
    <mergeCell ref="F82:F83"/>
    <mergeCell ref="A63:A64"/>
    <mergeCell ref="B63:B64"/>
    <mergeCell ref="A82:A83"/>
    <mergeCell ref="B82:B83"/>
    <mergeCell ref="C82:C83"/>
    <mergeCell ref="G82:G83"/>
    <mergeCell ref="C63:C64"/>
    <mergeCell ref="G63:G64"/>
    <mergeCell ref="A101:A102"/>
    <mergeCell ref="B101:B102"/>
    <mergeCell ref="C101:C102"/>
    <mergeCell ref="G101:G102"/>
    <mergeCell ref="N139:N140"/>
    <mergeCell ref="F139:F140"/>
    <mergeCell ref="A120:A121"/>
    <mergeCell ref="B120:B121"/>
    <mergeCell ref="C120:C121"/>
    <mergeCell ref="G120:G121"/>
    <mergeCell ref="F120:F121"/>
    <mergeCell ref="N101:N102"/>
    <mergeCell ref="F101:F102"/>
    <mergeCell ref="B103:J103"/>
    <mergeCell ref="N120:N121"/>
    <mergeCell ref="N157:N158"/>
    <mergeCell ref="F157:F158"/>
    <mergeCell ref="A139:A140"/>
    <mergeCell ref="B139:B140"/>
    <mergeCell ref="A157:A158"/>
    <mergeCell ref="B157:B158"/>
    <mergeCell ref="C157:C158"/>
    <mergeCell ref="G157:G158"/>
    <mergeCell ref="C139:C140"/>
    <mergeCell ref="G139:G140"/>
    <mergeCell ref="R197:R198"/>
    <mergeCell ref="E175:E176"/>
    <mergeCell ref="F175:F176"/>
    <mergeCell ref="G175:G176"/>
    <mergeCell ref="N175:N176"/>
    <mergeCell ref="I175:I176"/>
    <mergeCell ref="R175:R176"/>
    <mergeCell ref="E197:E198"/>
    <mergeCell ref="C264:L264"/>
    <mergeCell ref="C265:L265"/>
    <mergeCell ref="N197:N198"/>
    <mergeCell ref="I197:I198"/>
    <mergeCell ref="F197:F198"/>
    <mergeCell ref="G197:G198"/>
    <mergeCell ref="C261:L261"/>
    <mergeCell ref="C262:L262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6" customWidth="1"/>
    <col min="2" max="16384" width="9.140625" style="25" customWidth="1"/>
  </cols>
  <sheetData>
    <row r="1" spans="1:30" s="27" customFormat="1" ht="10.5">
      <c r="A1" s="8"/>
      <c r="B1" s="27" t="s">
        <v>131</v>
      </c>
      <c r="C1" s="27" t="s">
        <v>132</v>
      </c>
      <c r="D1" s="27" t="s">
        <v>133</v>
      </c>
      <c r="E1" s="27" t="s">
        <v>134</v>
      </c>
      <c r="F1" s="27" t="s">
        <v>135</v>
      </c>
      <c r="G1" s="27" t="s">
        <v>136</v>
      </c>
      <c r="H1" s="27" t="s">
        <v>137</v>
      </c>
      <c r="I1" s="27" t="s">
        <v>138</v>
      </c>
      <c r="J1" s="27" t="s">
        <v>139</v>
      </c>
      <c r="K1" s="27" t="s">
        <v>140</v>
      </c>
      <c r="L1" s="27" t="s">
        <v>141</v>
      </c>
      <c r="M1" s="27" t="s">
        <v>142</v>
      </c>
      <c r="N1" s="27" t="s">
        <v>143</v>
      </c>
      <c r="O1" s="27" t="s">
        <v>144</v>
      </c>
      <c r="P1" s="27" t="s">
        <v>145</v>
      </c>
      <c r="Q1" s="27" t="s">
        <v>146</v>
      </c>
      <c r="R1" s="27" t="s">
        <v>147</v>
      </c>
      <c r="S1" s="27" t="s">
        <v>148</v>
      </c>
      <c r="T1" s="27" t="s">
        <v>149</v>
      </c>
      <c r="U1" s="27" t="s">
        <v>150</v>
      </c>
      <c r="V1" s="27" t="s">
        <v>151</v>
      </c>
      <c r="X1" s="27" t="s">
        <v>152</v>
      </c>
      <c r="Y1" s="27" t="s">
        <v>153</v>
      </c>
      <c r="Z1" s="27" t="s">
        <v>154</v>
      </c>
      <c r="AA1" s="27" t="s">
        <v>155</v>
      </c>
      <c r="AB1" s="27" t="s">
        <v>156</v>
      </c>
      <c r="AC1" s="27" t="s">
        <v>157</v>
      </c>
      <c r="AD1" s="27" t="s">
        <v>158</v>
      </c>
    </row>
    <row r="2" spans="1:10" ht="10.5">
      <c r="A2" s="64"/>
      <c r="B2" s="65"/>
      <c r="C2" s="65"/>
      <c r="D2" s="65"/>
      <c r="E2" s="65"/>
      <c r="F2" s="65"/>
      <c r="G2" s="65"/>
      <c r="H2" s="65"/>
      <c r="I2" s="65"/>
      <c r="J2" s="65"/>
    </row>
    <row r="3" spans="1:10" ht="10.5">
      <c r="A3" s="28"/>
      <c r="B3" s="66" t="s">
        <v>159</v>
      </c>
      <c r="C3" s="66"/>
      <c r="D3" s="66"/>
      <c r="E3" s="66"/>
      <c r="F3" s="66"/>
      <c r="G3" s="66"/>
      <c r="H3" s="66"/>
      <c r="I3" s="66"/>
      <c r="J3" s="66"/>
    </row>
    <row r="4" spans="1:10" ht="10.5">
      <c r="A4" s="28"/>
      <c r="B4" s="66" t="s">
        <v>160</v>
      </c>
      <c r="C4" s="66"/>
      <c r="D4" s="66"/>
      <c r="E4" s="66"/>
      <c r="F4" s="66"/>
      <c r="G4" s="66"/>
      <c r="H4" s="66"/>
      <c r="I4" s="66"/>
      <c r="J4" s="66"/>
    </row>
    <row r="5" spans="1:10" ht="10.5">
      <c r="A5" s="64"/>
      <c r="B5" s="65"/>
      <c r="C5" s="65"/>
      <c r="D5" s="65"/>
      <c r="E5" s="65"/>
      <c r="F5" s="65"/>
      <c r="G5" s="65"/>
      <c r="H5" s="65"/>
      <c r="I5" s="65"/>
      <c r="J5" s="65"/>
    </row>
    <row r="6" spans="1:30" ht="10.5">
      <c r="A6" s="25" t="str">
        <f>'Форма 4'!A26</f>
        <v>1.</v>
      </c>
      <c r="B6" s="25">
        <f aca="true" t="shared" si="0" ref="B6:B13">ROUND(C6+D6+F6,2)</f>
        <v>23.04</v>
      </c>
      <c r="C6" s="25">
        <v>7.62</v>
      </c>
      <c r="D6" s="25">
        <v>2.75</v>
      </c>
      <c r="E6" s="25">
        <v>0.19</v>
      </c>
      <c r="F6" s="25">
        <v>12.67</v>
      </c>
      <c r="G6" s="25">
        <v>0</v>
      </c>
      <c r="H6" s="25">
        <v>0</v>
      </c>
      <c r="I6" s="26">
        <f>'Форма 4'!I26</f>
        <v>0.4509</v>
      </c>
      <c r="J6" s="26">
        <v>0</v>
      </c>
      <c r="K6" s="26">
        <f>'Форма 4'!I27</f>
        <v>0.01038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</row>
    <row r="7" spans="1:30" ht="10.5">
      <c r="A7" s="25" t="str">
        <f>'Форма 4'!A45</f>
        <v>2.</v>
      </c>
      <c r="B7" s="25">
        <f t="shared" si="0"/>
        <v>1968.74</v>
      </c>
      <c r="C7" s="25">
        <v>283.56</v>
      </c>
      <c r="D7" s="25">
        <v>645.09</v>
      </c>
      <c r="E7" s="25">
        <v>308.44</v>
      </c>
      <c r="F7" s="25">
        <v>1040.09</v>
      </c>
      <c r="G7" s="25">
        <v>0</v>
      </c>
      <c r="H7" s="25">
        <v>0</v>
      </c>
      <c r="I7" s="26">
        <f>'Форма 4'!I45</f>
        <v>23.3</v>
      </c>
      <c r="J7" s="26">
        <v>0</v>
      </c>
      <c r="K7" s="26">
        <f>'Форма 4'!I46</f>
        <v>22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</row>
    <row r="8" spans="1:30" ht="10.5">
      <c r="A8" s="25" t="str">
        <f>'Форма 4'!A63</f>
        <v>3.</v>
      </c>
      <c r="B8" s="25">
        <f t="shared" si="0"/>
        <v>89.82</v>
      </c>
      <c r="C8" s="25">
        <v>14.24</v>
      </c>
      <c r="D8" s="25">
        <v>23.58</v>
      </c>
      <c r="E8" s="25">
        <v>15.42</v>
      </c>
      <c r="F8" s="25">
        <v>52</v>
      </c>
      <c r="G8" s="25">
        <v>0</v>
      </c>
      <c r="H8" s="25">
        <v>0</v>
      </c>
      <c r="I8" s="26">
        <f>'Форма 4'!I63</f>
        <v>1.17</v>
      </c>
      <c r="J8" s="26">
        <v>0</v>
      </c>
      <c r="K8" s="26">
        <f>'Форма 4'!I64</f>
        <v>1.1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</row>
    <row r="9" spans="1:30" ht="10.5">
      <c r="A9" s="25" t="str">
        <f>'Форма 4'!A82</f>
        <v>4.</v>
      </c>
      <c r="B9" s="25">
        <f t="shared" si="0"/>
        <v>23.04</v>
      </c>
      <c r="C9" s="25">
        <v>7.62</v>
      </c>
      <c r="D9" s="25">
        <v>2.75</v>
      </c>
      <c r="E9" s="25">
        <v>0.19</v>
      </c>
      <c r="F9" s="25">
        <v>12.67</v>
      </c>
      <c r="G9" s="25">
        <v>0</v>
      </c>
      <c r="H9" s="25">
        <v>0</v>
      </c>
      <c r="I9" s="26">
        <f>'Форма 4'!I82</f>
        <v>0.864225</v>
      </c>
      <c r="J9" s="26">
        <v>0</v>
      </c>
      <c r="K9" s="26">
        <f>'Форма 4'!I83</f>
        <v>0.021625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</row>
    <row r="10" spans="1:30" ht="10.5">
      <c r="A10" s="25" t="str">
        <f>'Форма 4'!A101</f>
        <v>5.</v>
      </c>
      <c r="B10" s="25">
        <f t="shared" si="0"/>
        <v>323</v>
      </c>
      <c r="C10" s="25">
        <v>0</v>
      </c>
      <c r="D10" s="25">
        <v>0</v>
      </c>
      <c r="E10" s="25">
        <v>0</v>
      </c>
      <c r="F10" s="25">
        <v>323</v>
      </c>
      <c r="G10" s="25">
        <v>312</v>
      </c>
      <c r="H10" s="25">
        <v>0</v>
      </c>
      <c r="I10" s="26">
        <f>'Форма 4'!I101</f>
        <v>0</v>
      </c>
      <c r="J10" s="26">
        <v>0</v>
      </c>
      <c r="K10" s="26">
        <f>'Форма 4'!I102</f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</row>
    <row r="11" spans="1:30" ht="10.5">
      <c r="A11" s="25" t="str">
        <f>'Форма 4'!A120</f>
        <v>6.</v>
      </c>
      <c r="B11" s="25">
        <f t="shared" si="0"/>
        <v>9.59</v>
      </c>
      <c r="C11" s="25">
        <v>8.9</v>
      </c>
      <c r="D11" s="25">
        <v>0</v>
      </c>
      <c r="E11" s="25">
        <v>0</v>
      </c>
      <c r="F11" s="25">
        <v>0.69</v>
      </c>
      <c r="G11" s="25">
        <v>0</v>
      </c>
      <c r="H11" s="25">
        <v>0</v>
      </c>
      <c r="I11" s="26">
        <f>'Форма 4'!I120</f>
        <v>0.805</v>
      </c>
      <c r="J11" s="26">
        <v>0</v>
      </c>
      <c r="K11" s="26">
        <f>'Форма 4'!I121</f>
        <v>0</v>
      </c>
      <c r="L11" s="25">
        <v>1110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</row>
    <row r="12" spans="1:30" ht="10.5">
      <c r="A12" s="25" t="str">
        <f>'Форма 4'!A139</f>
        <v>7.</v>
      </c>
      <c r="B12" s="25">
        <f t="shared" si="0"/>
        <v>8</v>
      </c>
      <c r="C12" s="25">
        <v>0</v>
      </c>
      <c r="D12" s="25">
        <v>8</v>
      </c>
      <c r="E12" s="25">
        <v>0</v>
      </c>
      <c r="F12" s="25">
        <v>0</v>
      </c>
      <c r="G12" s="25">
        <v>0</v>
      </c>
      <c r="H12" s="25">
        <v>0</v>
      </c>
      <c r="I12" s="26">
        <f>'Форма 4'!I139</f>
        <v>0</v>
      </c>
      <c r="J12" s="26">
        <v>0</v>
      </c>
      <c r="K12" s="26">
        <f>'Форма 4'!I140</f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</row>
    <row r="13" spans="1:30" ht="10.5">
      <c r="A13" s="25" t="str">
        <f>'Форма 4'!A157</f>
        <v>8.</v>
      </c>
      <c r="B13" s="25">
        <f t="shared" si="0"/>
        <v>17.99</v>
      </c>
      <c r="C13" s="25">
        <v>0</v>
      </c>
      <c r="D13" s="25">
        <v>0</v>
      </c>
      <c r="E13" s="25">
        <v>0</v>
      </c>
      <c r="F13" s="25">
        <v>17.99</v>
      </c>
      <c r="G13" s="25">
        <v>0</v>
      </c>
      <c r="H13" s="25">
        <v>0</v>
      </c>
      <c r="I13" s="26">
        <f>'Форма 4'!I157</f>
        <v>0</v>
      </c>
      <c r="J13" s="26">
        <v>0</v>
      </c>
      <c r="K13" s="26">
        <f>'Форма 4'!I158</f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6" customWidth="1"/>
    <col min="2" max="16384" width="9.140625" style="25" customWidth="1"/>
  </cols>
  <sheetData>
    <row r="1" spans="1:30" s="27" customFormat="1" ht="10.5">
      <c r="A1" s="8"/>
      <c r="B1" s="27" t="s">
        <v>131</v>
      </c>
      <c r="C1" s="27" t="s">
        <v>132</v>
      </c>
      <c r="D1" s="27" t="s">
        <v>133</v>
      </c>
      <c r="E1" s="27" t="s">
        <v>134</v>
      </c>
      <c r="F1" s="27" t="s">
        <v>135</v>
      </c>
      <c r="G1" s="27" t="s">
        <v>136</v>
      </c>
      <c r="H1" s="27" t="s">
        <v>137</v>
      </c>
      <c r="I1" s="27" t="s">
        <v>138</v>
      </c>
      <c r="J1" s="27" t="s">
        <v>139</v>
      </c>
      <c r="K1" s="27" t="s">
        <v>140</v>
      </c>
      <c r="L1" s="27" t="s">
        <v>141</v>
      </c>
      <c r="M1" s="27" t="s">
        <v>142</v>
      </c>
      <c r="N1" s="27" t="s">
        <v>143</v>
      </c>
      <c r="O1" s="27" t="s">
        <v>144</v>
      </c>
      <c r="P1" s="27" t="s">
        <v>145</v>
      </c>
      <c r="Q1" s="27" t="s">
        <v>146</v>
      </c>
      <c r="R1" s="27" t="s">
        <v>147</v>
      </c>
      <c r="S1" s="27" t="s">
        <v>148</v>
      </c>
      <c r="T1" s="27" t="s">
        <v>149</v>
      </c>
      <c r="U1" s="27" t="s">
        <v>150</v>
      </c>
      <c r="V1" s="27" t="s">
        <v>151</v>
      </c>
      <c r="X1" s="27" t="s">
        <v>152</v>
      </c>
      <c r="Y1" s="27" t="s">
        <v>153</v>
      </c>
      <c r="Z1" s="27" t="s">
        <v>154</v>
      </c>
      <c r="AA1" s="27" t="s">
        <v>155</v>
      </c>
      <c r="AB1" s="27" t="s">
        <v>156</v>
      </c>
      <c r="AC1" s="27" t="s">
        <v>157</v>
      </c>
      <c r="AD1" s="27" t="s">
        <v>158</v>
      </c>
    </row>
    <row r="2" spans="1:10" ht="10.5">
      <c r="A2" s="64"/>
      <c r="B2" s="65"/>
      <c r="C2" s="65"/>
      <c r="D2" s="65"/>
      <c r="E2" s="65"/>
      <c r="F2" s="65"/>
      <c r="G2" s="65"/>
      <c r="H2" s="65"/>
      <c r="I2" s="65"/>
      <c r="J2" s="65"/>
    </row>
    <row r="3" spans="1:10" ht="10.5">
      <c r="A3" s="28"/>
      <c r="B3" s="66" t="s">
        <v>159</v>
      </c>
      <c r="C3" s="66"/>
      <c r="D3" s="66"/>
      <c r="E3" s="66"/>
      <c r="F3" s="66"/>
      <c r="G3" s="66"/>
      <c r="H3" s="66"/>
      <c r="I3" s="66"/>
      <c r="J3" s="66"/>
    </row>
    <row r="4" spans="1:10" ht="10.5">
      <c r="A4" s="28"/>
      <c r="B4" s="66" t="s">
        <v>160</v>
      </c>
      <c r="C4" s="66"/>
      <c r="D4" s="66"/>
      <c r="E4" s="66"/>
      <c r="F4" s="66"/>
      <c r="G4" s="66"/>
      <c r="H4" s="66"/>
      <c r="I4" s="66"/>
      <c r="J4" s="66"/>
    </row>
    <row r="5" spans="1:10" ht="10.5">
      <c r="A5" s="64"/>
      <c r="B5" s="65"/>
      <c r="C5" s="65"/>
      <c r="D5" s="65"/>
      <c r="E5" s="65"/>
      <c r="F5" s="65"/>
      <c r="G5" s="65"/>
      <c r="H5" s="65"/>
      <c r="I5" s="65"/>
      <c r="J5" s="65"/>
    </row>
    <row r="6" spans="1:30" ht="10.5">
      <c r="A6" s="25" t="str">
        <f>'Форма 4'!A26</f>
        <v>1.</v>
      </c>
      <c r="B6" s="25">
        <f aca="true" t="shared" si="0" ref="B6:B13">ROUND(C6+D6+F6,2)</f>
        <v>6.22</v>
      </c>
      <c r="C6" s="25">
        <v>4.57</v>
      </c>
      <c r="D6" s="25">
        <v>1.65</v>
      </c>
      <c r="E6" s="25">
        <v>0.11</v>
      </c>
      <c r="F6" s="25">
        <v>0</v>
      </c>
      <c r="G6" s="25">
        <v>0</v>
      </c>
      <c r="H6" s="25">
        <v>0</v>
      </c>
      <c r="I6" s="26">
        <f>'Форма 4'!I26</f>
        <v>0.4509</v>
      </c>
      <c r="J6" s="26">
        <v>0</v>
      </c>
      <c r="K6" s="26">
        <f>'Форма 4'!I27</f>
        <v>0.01038</v>
      </c>
      <c r="L6" s="25">
        <v>0</v>
      </c>
      <c r="M6" s="25">
        <v>0</v>
      </c>
      <c r="N6" s="25">
        <v>4.96</v>
      </c>
      <c r="O6" s="25">
        <v>2.53</v>
      </c>
      <c r="P6" s="25">
        <v>4.84</v>
      </c>
      <c r="Q6" s="25">
        <v>0.12</v>
      </c>
      <c r="R6" s="25">
        <v>2.47</v>
      </c>
      <c r="S6" s="25">
        <v>0.06</v>
      </c>
      <c r="T6" s="25">
        <v>0</v>
      </c>
      <c r="U6" s="25">
        <v>0</v>
      </c>
      <c r="V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</row>
    <row r="7" spans="1:30" ht="10.5">
      <c r="A7" s="25" t="str">
        <f>'Форма 4'!A45</f>
        <v>2.</v>
      </c>
      <c r="B7" s="25">
        <f t="shared" si="0"/>
        <v>1968.74</v>
      </c>
      <c r="C7" s="25">
        <v>283.56</v>
      </c>
      <c r="D7" s="25">
        <v>645.09</v>
      </c>
      <c r="E7" s="25">
        <v>308.44</v>
      </c>
      <c r="F7" s="25">
        <v>1040.09</v>
      </c>
      <c r="G7" s="25">
        <v>0</v>
      </c>
      <c r="H7" s="25">
        <v>0</v>
      </c>
      <c r="I7" s="26">
        <f>'Форма 4'!I45</f>
        <v>23.3</v>
      </c>
      <c r="J7" s="26">
        <v>0</v>
      </c>
      <c r="K7" s="26">
        <f>'Форма 4'!I46</f>
        <v>22</v>
      </c>
      <c r="L7" s="25">
        <v>0</v>
      </c>
      <c r="M7" s="25">
        <v>0</v>
      </c>
      <c r="N7" s="25">
        <v>586.08</v>
      </c>
      <c r="O7" s="25">
        <v>355.2</v>
      </c>
      <c r="P7" s="25">
        <v>280.72</v>
      </c>
      <c r="Q7" s="25">
        <v>305.36</v>
      </c>
      <c r="R7" s="25">
        <v>170.14</v>
      </c>
      <c r="S7" s="25">
        <v>185.06</v>
      </c>
      <c r="T7" s="25">
        <v>0</v>
      </c>
      <c r="U7" s="25">
        <v>0</v>
      </c>
      <c r="V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</row>
    <row r="8" spans="1:30" ht="10.5">
      <c r="A8" s="25" t="str">
        <f>'Форма 4'!A63</f>
        <v>3.</v>
      </c>
      <c r="B8" s="25">
        <f t="shared" si="0"/>
        <v>89.82</v>
      </c>
      <c r="C8" s="25">
        <v>14.24</v>
      </c>
      <c r="D8" s="25">
        <v>23.58</v>
      </c>
      <c r="E8" s="25">
        <v>15.42</v>
      </c>
      <c r="F8" s="25">
        <v>52</v>
      </c>
      <c r="G8" s="25">
        <v>0</v>
      </c>
      <c r="H8" s="25">
        <v>0</v>
      </c>
      <c r="I8" s="26">
        <f>'Форма 4'!I63</f>
        <v>1.17</v>
      </c>
      <c r="J8" s="26">
        <v>0</v>
      </c>
      <c r="K8" s="26">
        <f>'Форма 4'!I64</f>
        <v>1.1</v>
      </c>
      <c r="L8" s="25">
        <v>0</v>
      </c>
      <c r="M8" s="25">
        <v>0</v>
      </c>
      <c r="N8" s="25">
        <v>29.36</v>
      </c>
      <c r="O8" s="25">
        <v>17.8</v>
      </c>
      <c r="P8" s="25">
        <v>14.1</v>
      </c>
      <c r="Q8" s="25">
        <v>15.26</v>
      </c>
      <c r="R8" s="25">
        <v>8.54</v>
      </c>
      <c r="S8" s="25">
        <v>9.26</v>
      </c>
      <c r="T8" s="25">
        <v>0</v>
      </c>
      <c r="U8" s="25">
        <v>0</v>
      </c>
      <c r="V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</row>
    <row r="9" spans="1:30" ht="10.5">
      <c r="A9" s="25" t="str">
        <f>'Форма 4'!A82</f>
        <v>4.</v>
      </c>
      <c r="B9" s="25">
        <f t="shared" si="0"/>
        <v>24.87</v>
      </c>
      <c r="C9" s="25">
        <v>8.76</v>
      </c>
      <c r="D9" s="25">
        <v>3.44</v>
      </c>
      <c r="E9" s="25">
        <v>0.24</v>
      </c>
      <c r="F9" s="25">
        <v>12.67</v>
      </c>
      <c r="G9" s="25">
        <v>0</v>
      </c>
      <c r="H9" s="25">
        <v>0</v>
      </c>
      <c r="I9" s="26">
        <f>'Форма 4'!I82</f>
        <v>0.864225</v>
      </c>
      <c r="J9" s="26">
        <v>0</v>
      </c>
      <c r="K9" s="26">
        <f>'Форма 4'!I83</f>
        <v>0.021625</v>
      </c>
      <c r="L9" s="25">
        <v>0</v>
      </c>
      <c r="M9" s="25">
        <v>0</v>
      </c>
      <c r="N9" s="25">
        <v>9.54</v>
      </c>
      <c r="O9" s="25">
        <v>4.86</v>
      </c>
      <c r="P9" s="25">
        <v>9.29</v>
      </c>
      <c r="Q9" s="25">
        <v>0.25</v>
      </c>
      <c r="R9" s="25">
        <v>4.73</v>
      </c>
      <c r="S9" s="25">
        <v>0.13</v>
      </c>
      <c r="T9" s="25">
        <v>0</v>
      </c>
      <c r="U9" s="25">
        <v>0</v>
      </c>
      <c r="V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</row>
    <row r="10" spans="1:30" ht="10.5">
      <c r="A10" s="25" t="str">
        <f>'Форма 4'!A101</f>
        <v>5.</v>
      </c>
      <c r="B10" s="25">
        <f t="shared" si="0"/>
        <v>387.6</v>
      </c>
      <c r="C10" s="25">
        <v>0</v>
      </c>
      <c r="D10" s="25">
        <v>0</v>
      </c>
      <c r="E10" s="25">
        <v>0</v>
      </c>
      <c r="F10" s="25">
        <v>387.6</v>
      </c>
      <c r="G10" s="25">
        <v>374.4</v>
      </c>
      <c r="H10" s="25">
        <v>0</v>
      </c>
      <c r="I10" s="26">
        <f>'Форма 4'!I101</f>
        <v>0</v>
      </c>
      <c r="J10" s="26">
        <v>0</v>
      </c>
      <c r="K10" s="26">
        <f>'Форма 4'!I102</f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</row>
    <row r="11" spans="1:30" ht="10.5">
      <c r="A11" s="25" t="str">
        <f>'Форма 4'!A120</f>
        <v>6.</v>
      </c>
      <c r="B11" s="25">
        <f t="shared" si="0"/>
        <v>10.93</v>
      </c>
      <c r="C11" s="25">
        <v>10.24</v>
      </c>
      <c r="D11" s="25">
        <v>0</v>
      </c>
      <c r="E11" s="25">
        <v>0</v>
      </c>
      <c r="F11" s="25">
        <v>0.69</v>
      </c>
      <c r="G11" s="25">
        <v>0</v>
      </c>
      <c r="H11" s="25">
        <v>0</v>
      </c>
      <c r="I11" s="26">
        <f>'Форма 4'!I120</f>
        <v>0.805</v>
      </c>
      <c r="J11" s="26">
        <v>0</v>
      </c>
      <c r="K11" s="26">
        <f>'Форма 4'!I121</f>
        <v>0</v>
      </c>
      <c r="L11" s="25">
        <v>1110</v>
      </c>
      <c r="M11" s="25">
        <v>0</v>
      </c>
      <c r="N11" s="25">
        <v>9.73</v>
      </c>
      <c r="O11" s="25">
        <v>4.81</v>
      </c>
      <c r="P11" s="25">
        <v>9.73</v>
      </c>
      <c r="Q11" s="25">
        <v>0</v>
      </c>
      <c r="R11" s="25">
        <v>4.81</v>
      </c>
      <c r="S11" s="25">
        <v>0</v>
      </c>
      <c r="T11" s="25">
        <v>0</v>
      </c>
      <c r="U11" s="25">
        <v>0</v>
      </c>
      <c r="V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</row>
    <row r="12" spans="1:30" ht="10.5">
      <c r="A12" s="25" t="str">
        <f>'Форма 4'!A139</f>
        <v>7.</v>
      </c>
      <c r="B12" s="25">
        <f t="shared" si="0"/>
        <v>8</v>
      </c>
      <c r="C12" s="25">
        <v>0</v>
      </c>
      <c r="D12" s="25">
        <v>8</v>
      </c>
      <c r="E12" s="25">
        <v>0</v>
      </c>
      <c r="F12" s="25">
        <v>0</v>
      </c>
      <c r="G12" s="25">
        <v>0</v>
      </c>
      <c r="H12" s="25">
        <v>0</v>
      </c>
      <c r="I12" s="26">
        <f>'Форма 4'!I139</f>
        <v>0</v>
      </c>
      <c r="J12" s="26">
        <v>0</v>
      </c>
      <c r="K12" s="26">
        <f>'Форма 4'!I140</f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</row>
    <row r="13" spans="1:30" ht="10.5">
      <c r="A13" s="25" t="str">
        <f>'Форма 4'!A157</f>
        <v>8.</v>
      </c>
      <c r="B13" s="25">
        <f t="shared" si="0"/>
        <v>17.99</v>
      </c>
      <c r="C13" s="25">
        <v>0</v>
      </c>
      <c r="D13" s="25">
        <v>0</v>
      </c>
      <c r="E13" s="25">
        <v>0</v>
      </c>
      <c r="F13" s="25">
        <v>17.99</v>
      </c>
      <c r="G13" s="25">
        <v>0</v>
      </c>
      <c r="H13" s="25">
        <v>0</v>
      </c>
      <c r="I13" s="26">
        <f>'Форма 4'!I157</f>
        <v>0</v>
      </c>
      <c r="J13" s="26">
        <v>0</v>
      </c>
      <c r="K13" s="26">
        <f>'Форма 4'!I158</f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D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6" customWidth="1"/>
    <col min="2" max="16384" width="9.140625" style="25" customWidth="1"/>
  </cols>
  <sheetData>
    <row r="1" spans="1:30" s="27" customFormat="1" ht="10.5">
      <c r="A1" s="8"/>
      <c r="B1" s="27" t="s">
        <v>131</v>
      </c>
      <c r="C1" s="27" t="s">
        <v>132</v>
      </c>
      <c r="D1" s="27" t="s">
        <v>133</v>
      </c>
      <c r="E1" s="27" t="s">
        <v>134</v>
      </c>
      <c r="F1" s="27" t="s">
        <v>135</v>
      </c>
      <c r="G1" s="27" t="s">
        <v>136</v>
      </c>
      <c r="H1" s="27" t="s">
        <v>137</v>
      </c>
      <c r="I1" s="27" t="s">
        <v>138</v>
      </c>
      <c r="J1" s="27" t="s">
        <v>139</v>
      </c>
      <c r="K1" s="27" t="s">
        <v>140</v>
      </c>
      <c r="L1" s="27" t="s">
        <v>141</v>
      </c>
      <c r="M1" s="27" t="s">
        <v>142</v>
      </c>
      <c r="N1" s="27" t="s">
        <v>143</v>
      </c>
      <c r="O1" s="27" t="s">
        <v>144</v>
      </c>
      <c r="P1" s="27" t="s">
        <v>145</v>
      </c>
      <c r="Q1" s="27" t="s">
        <v>146</v>
      </c>
      <c r="R1" s="27" t="s">
        <v>147</v>
      </c>
      <c r="S1" s="27" t="s">
        <v>148</v>
      </c>
      <c r="T1" s="27" t="s">
        <v>149</v>
      </c>
      <c r="U1" s="27" t="s">
        <v>150</v>
      </c>
      <c r="V1" s="27" t="s">
        <v>151</v>
      </c>
      <c r="X1" s="27" t="s">
        <v>152</v>
      </c>
      <c r="Y1" s="27" t="s">
        <v>153</v>
      </c>
      <c r="Z1" s="27" t="s">
        <v>154</v>
      </c>
      <c r="AA1" s="27" t="s">
        <v>155</v>
      </c>
      <c r="AB1" s="27" t="s">
        <v>156</v>
      </c>
      <c r="AC1" s="27" t="s">
        <v>157</v>
      </c>
      <c r="AD1" s="27" t="s">
        <v>158</v>
      </c>
    </row>
    <row r="2" spans="1:10" ht="10.5">
      <c r="A2" s="64"/>
      <c r="B2" s="65"/>
      <c r="C2" s="65"/>
      <c r="D2" s="65"/>
      <c r="E2" s="65"/>
      <c r="F2" s="65"/>
      <c r="G2" s="65"/>
      <c r="H2" s="65"/>
      <c r="I2" s="65"/>
      <c r="J2" s="65"/>
    </row>
    <row r="3" spans="1:10" ht="10.5">
      <c r="A3" s="28"/>
      <c r="B3" s="66" t="s">
        <v>159</v>
      </c>
      <c r="C3" s="66"/>
      <c r="D3" s="66"/>
      <c r="E3" s="66"/>
      <c r="F3" s="66"/>
      <c r="G3" s="66"/>
      <c r="H3" s="66"/>
      <c r="I3" s="66"/>
      <c r="J3" s="66"/>
    </row>
    <row r="4" spans="1:10" ht="10.5">
      <c r="A4" s="28"/>
      <c r="B4" s="66" t="s">
        <v>160</v>
      </c>
      <c r="C4" s="66"/>
      <c r="D4" s="66"/>
      <c r="E4" s="66"/>
      <c r="F4" s="66"/>
      <c r="G4" s="66"/>
      <c r="H4" s="66"/>
      <c r="I4" s="66"/>
      <c r="J4" s="66"/>
    </row>
    <row r="5" spans="1:10" ht="10.5">
      <c r="A5" s="64"/>
      <c r="B5" s="65"/>
      <c r="C5" s="65"/>
      <c r="D5" s="65"/>
      <c r="E5" s="65"/>
      <c r="F5" s="65"/>
      <c r="G5" s="65"/>
      <c r="H5" s="65"/>
      <c r="I5" s="65"/>
      <c r="J5" s="65"/>
    </row>
    <row r="6" spans="1:30" ht="10.5">
      <c r="A6" s="25" t="str">
        <f>'Форма 4'!A26</f>
        <v>1.</v>
      </c>
      <c r="B6" s="25">
        <f aca="true" t="shared" si="0" ref="B6:B13">ROUND(C6+D6+F6,2)</f>
        <v>223.92</v>
      </c>
      <c r="C6" s="25">
        <f>ROUND('Форма 4'!C26*'Базовые цены за единицу'!C6,2)</f>
        <v>164.52</v>
      </c>
      <c r="D6" s="25">
        <f>ROUND('Форма 4'!C26*'Базовые цены за единицу'!D6,2)</f>
        <v>59.4</v>
      </c>
      <c r="E6" s="25">
        <f>ROUND('Форма 4'!C26*'Базовые цены за единицу'!E6,2)</f>
        <v>3.96</v>
      </c>
      <c r="F6" s="25">
        <f>ROUND('Форма 4'!C26*'Базовые цены за единицу'!F6,2)</f>
        <v>0</v>
      </c>
      <c r="G6" s="25">
        <f>ROUND('Форма 4'!C26*'Базовые цены за единицу'!G6,2)</f>
        <v>0</v>
      </c>
      <c r="H6" s="25">
        <f>ROUND('Форма 4'!C26*'Базовые цены за единицу'!H6,2)</f>
        <v>0</v>
      </c>
      <c r="I6" s="29">
        <f>ОКРУГЛВСЕ('Форма 4'!C26*'Базовые цены за единицу'!I6,8)</f>
        <v>16.2324</v>
      </c>
      <c r="J6" s="26">
        <f>ОКРУГЛВСЕ('Форма 4'!C26*'Базовые цены за единицу'!J6,8)</f>
        <v>0</v>
      </c>
      <c r="K6" s="29">
        <f>ОКРУГЛВСЕ('Форма 4'!C26*'Базовые цены за единицу'!K6,8)</f>
        <v>0.37368</v>
      </c>
      <c r="L6" s="25">
        <f>ROUND('Форма 4'!C26*'Базовые цены за единицу'!L6,2)</f>
        <v>0</v>
      </c>
      <c r="M6" s="25">
        <f>ROUND('Форма 4'!C26*'Базовые цены за единицу'!M6,2)</f>
        <v>0</v>
      </c>
      <c r="N6" s="25">
        <f>ROUND((C6+E6)*'Форма 4'!C38/100,2)</f>
        <v>178.59</v>
      </c>
      <c r="O6" s="25">
        <f>ROUND((C6+E6)*'Форма 4'!C41/100,2)</f>
        <v>90.98</v>
      </c>
      <c r="P6" s="25">
        <f>ROUND('Форма 4'!C26*'Базовые цены за единицу'!P6,2)</f>
        <v>174.24</v>
      </c>
      <c r="Q6" s="25">
        <f>ROUND('Форма 4'!C26*'Базовые цены за единицу'!Q6,2)</f>
        <v>4.32</v>
      </c>
      <c r="R6" s="25">
        <f>ROUND('Форма 4'!C26*'Базовые цены за единицу'!R6,2)</f>
        <v>88.92</v>
      </c>
      <c r="S6" s="25">
        <f>ROUND('Форма 4'!C26*'Базовые цены за единицу'!S6,2)</f>
        <v>2.16</v>
      </c>
      <c r="T6" s="25">
        <f>ROUND('Форма 4'!C26*'Базовые цены за единицу'!T6,2)</f>
        <v>0</v>
      </c>
      <c r="U6" s="25">
        <f>ROUND('Форма 4'!C26*'Базовые цены за единицу'!U6,2)</f>
        <v>0</v>
      </c>
      <c r="V6" s="25">
        <f>ROUND('Форма 4'!C26*'Базовые цены за единицу'!V6,2)</f>
        <v>0</v>
      </c>
      <c r="X6" s="25">
        <f>ROUND('Форма 4'!C26*'Базовые цены за единицу'!X6,2)</f>
        <v>0</v>
      </c>
      <c r="Y6" s="25">
        <f>IF(Определители!I6="9",ROUND((C6+E6)*(Начисления!M6/100)*('Форма 4'!C38/100),2),0)</f>
        <v>0</v>
      </c>
      <c r="Z6" s="25">
        <f>IF(Определители!I6="9",ROUND((C6+E6)*(100-Начисления!M6/100)*('Форма 4'!C38/100),2),0)</f>
        <v>0</v>
      </c>
      <c r="AA6" s="25">
        <f>IF(Определители!I6="9",ROUND((C6+E6)*(Начисления!M6/100)*('Форма 4'!C41/100),2),0)</f>
        <v>0</v>
      </c>
      <c r="AB6" s="25">
        <f>IF(Определители!I6="9",ROUND((C6+E6)*(100-Начисления!M6/100)*('Форма 4'!C41/100),2),0)</f>
        <v>0</v>
      </c>
      <c r="AC6" s="25">
        <f>IF(Определители!I6="9",ROUND(B6*Начисления!M6/100,2),0)</f>
        <v>0</v>
      </c>
      <c r="AD6" s="25">
        <f>IF(Определители!I6="9",ROUND(B6*(100-Начисления!M6)/100,2),0)</f>
        <v>0</v>
      </c>
    </row>
    <row r="7" spans="1:30" ht="10.5">
      <c r="A7" s="25" t="str">
        <f>'Форма 4'!A45</f>
        <v>2.</v>
      </c>
      <c r="B7" s="25">
        <f t="shared" si="0"/>
        <v>944.99</v>
      </c>
      <c r="C7" s="25">
        <f>ROUND('Форма 4'!C45*'Базовые цены за единицу'!C7,2)</f>
        <v>136.11</v>
      </c>
      <c r="D7" s="25">
        <f>ROUND('Форма 4'!C45*'Базовые цены за единицу'!D7,2)</f>
        <v>309.64</v>
      </c>
      <c r="E7" s="25">
        <f>ROUND('Форма 4'!C45*'Базовые цены за единицу'!E7,2)</f>
        <v>148.05</v>
      </c>
      <c r="F7" s="25">
        <f>ROUND('Форма 4'!C45*'Базовые цены за единицу'!F7,2)</f>
        <v>499.24</v>
      </c>
      <c r="G7" s="25">
        <f>ROUND('Форма 4'!C45*'Базовые цены за единицу'!G7,2)</f>
        <v>0</v>
      </c>
      <c r="H7" s="25">
        <f>ROUND('Форма 4'!C45*'Базовые цены за единицу'!H7,2)</f>
        <v>0</v>
      </c>
      <c r="I7" s="29">
        <f>ОКРУГЛВСЕ('Форма 4'!C45*'Базовые цены за единицу'!I7,8)</f>
        <v>11.184</v>
      </c>
      <c r="J7" s="26">
        <f>ОКРУГЛВСЕ('Форма 4'!C45*'Базовые цены за единицу'!J7,8)</f>
        <v>0</v>
      </c>
      <c r="K7" s="29">
        <f>ОКРУГЛВСЕ('Форма 4'!C45*'Базовые цены за единицу'!K7,8)</f>
        <v>10.56</v>
      </c>
      <c r="L7" s="25">
        <f>ROUND('Форма 4'!C45*'Базовые цены за единицу'!L7,2)</f>
        <v>0</v>
      </c>
      <c r="M7" s="25">
        <f>ROUND('Форма 4'!C45*'Базовые цены за единицу'!M7,2)</f>
        <v>0</v>
      </c>
      <c r="N7" s="25">
        <f>ROUND((C7+E7)*'Форма 4'!C56/100,2)</f>
        <v>281.32</v>
      </c>
      <c r="O7" s="25">
        <f>ROUND((C7+E7)*'Форма 4'!C59/100,2)</f>
        <v>170.5</v>
      </c>
      <c r="P7" s="25">
        <f>ROUND('Форма 4'!C45*'Базовые цены за единицу'!P7,2)</f>
        <v>134.75</v>
      </c>
      <c r="Q7" s="25">
        <f>ROUND('Форма 4'!C45*'Базовые цены за единицу'!Q7,2)</f>
        <v>146.57</v>
      </c>
      <c r="R7" s="25">
        <f>ROUND('Форма 4'!C45*'Базовые цены за единицу'!R7,2)</f>
        <v>81.67</v>
      </c>
      <c r="S7" s="25">
        <f>ROUND('Форма 4'!C45*'Базовые цены за единицу'!S7,2)</f>
        <v>88.83</v>
      </c>
      <c r="T7" s="25">
        <f>ROUND('Форма 4'!C45*'Базовые цены за единицу'!T7,2)</f>
        <v>0</v>
      </c>
      <c r="U7" s="25">
        <f>ROUND('Форма 4'!C45*'Базовые цены за единицу'!U7,2)</f>
        <v>0</v>
      </c>
      <c r="V7" s="25">
        <f>ROUND('Форма 4'!C45*'Базовые цены за единицу'!V7,2)</f>
        <v>0</v>
      </c>
      <c r="X7" s="25">
        <f>ROUND('Форма 4'!C45*'Базовые цены за единицу'!X7,2)</f>
        <v>0</v>
      </c>
      <c r="Y7" s="25">
        <f>IF(Определители!I7="9",ROUND((C7+E7)*(Начисления!M7/100)*('Форма 4'!C56/100),2),0)</f>
        <v>0</v>
      </c>
      <c r="Z7" s="25">
        <f>IF(Определители!I7="9",ROUND((C7+E7)*(100-Начисления!M7/100)*('Форма 4'!C56/100),2),0)</f>
        <v>0</v>
      </c>
      <c r="AA7" s="25">
        <f>IF(Определители!I7="9",ROUND((C7+E7)*(Начисления!M7/100)*('Форма 4'!C59/100),2),0)</f>
        <v>0</v>
      </c>
      <c r="AB7" s="25">
        <f>IF(Определители!I7="9",ROUND((C7+E7)*(100-Начисления!M7/100)*('Форма 4'!C59/100),2),0)</f>
        <v>0</v>
      </c>
      <c r="AC7" s="25">
        <f>IF(Определители!I7="9",ROUND(B7*Начисления!M7/100,2),0)</f>
        <v>0</v>
      </c>
      <c r="AD7" s="25">
        <f>IF(Определители!I7="9",ROUND(B7*(100-Начисления!M7)/100,2),0)</f>
        <v>0</v>
      </c>
    </row>
    <row r="8" spans="1:30" ht="10.5">
      <c r="A8" s="25" t="str">
        <f>'Форма 4'!A63</f>
        <v>3.</v>
      </c>
      <c r="B8" s="25">
        <f t="shared" si="0"/>
        <v>-646.71</v>
      </c>
      <c r="C8" s="25">
        <f>ROUND('Форма 4'!C63*'Базовые цены за единицу'!C8,2)</f>
        <v>-102.53</v>
      </c>
      <c r="D8" s="25">
        <f>ROUND('Форма 4'!C63*'Базовые цены за единицу'!D8,2)</f>
        <v>-169.78</v>
      </c>
      <c r="E8" s="25">
        <f>ROUND('Форма 4'!C63*'Базовые цены за единицу'!E8,2)</f>
        <v>-111.02</v>
      </c>
      <c r="F8" s="25">
        <f>ROUND('Форма 4'!C63*'Базовые цены за единицу'!F8,2)</f>
        <v>-374.4</v>
      </c>
      <c r="G8" s="25">
        <f>ROUND('Форма 4'!C63*'Базовые цены за единицу'!G8,2)</f>
        <v>0</v>
      </c>
      <c r="H8" s="25">
        <f>ROUND('Форма 4'!C63*'Базовые цены за единицу'!H8,2)</f>
        <v>0</v>
      </c>
      <c r="I8" s="29">
        <f>ОКРУГЛВСЕ('Форма 4'!C63*'Базовые цены за единицу'!I8,8)</f>
        <v>-8.424</v>
      </c>
      <c r="J8" s="26">
        <f>ОКРУГЛВСЕ('Форма 4'!C63*'Базовые цены за единицу'!J8,8)</f>
        <v>0</v>
      </c>
      <c r="K8" s="29">
        <f>ОКРУГЛВСЕ('Форма 4'!C63*'Базовые цены за единицу'!K8,8)</f>
        <v>-7.92</v>
      </c>
      <c r="L8" s="25">
        <f>ROUND('Форма 4'!C63*'Базовые цены за единицу'!L8,2)</f>
        <v>0</v>
      </c>
      <c r="M8" s="25">
        <f>ROUND('Форма 4'!C63*'Базовые цены за единицу'!M8,2)</f>
        <v>0</v>
      </c>
      <c r="N8" s="25">
        <f>ROUND((C8+E8)*'Форма 4'!C75/100,2)</f>
        <v>-211.41</v>
      </c>
      <c r="O8" s="25">
        <f>ROUND((C8+E8)*'Форма 4'!C78/100,2)</f>
        <v>-128.13</v>
      </c>
      <c r="P8" s="25">
        <f>ROUND('Форма 4'!C63*'Базовые цены за единицу'!P8,2)</f>
        <v>-101.52</v>
      </c>
      <c r="Q8" s="25">
        <f>ROUND('Форма 4'!C63*'Базовые цены за единицу'!Q8,2)</f>
        <v>-109.87</v>
      </c>
      <c r="R8" s="25">
        <f>ROUND('Форма 4'!C63*'Базовые цены за единицу'!R8,2)</f>
        <v>-61.49</v>
      </c>
      <c r="S8" s="25">
        <f>ROUND('Форма 4'!C63*'Базовые цены за единицу'!S8,2)</f>
        <v>-66.67</v>
      </c>
      <c r="T8" s="25">
        <f>ROUND('Форма 4'!C63*'Базовые цены за единицу'!T8,2)</f>
        <v>0</v>
      </c>
      <c r="U8" s="25">
        <f>ROUND('Форма 4'!C63*'Базовые цены за единицу'!U8,2)</f>
        <v>0</v>
      </c>
      <c r="V8" s="25">
        <f>ROUND('Форма 4'!C63*'Базовые цены за единицу'!V8,2)</f>
        <v>0</v>
      </c>
      <c r="X8" s="25">
        <f>ROUND('Форма 4'!C63*'Базовые цены за единицу'!X8,2)</f>
        <v>0</v>
      </c>
      <c r="Y8" s="25">
        <f>IF(Определители!I8="9",ROUND((C8+E8)*(Начисления!M8/100)*('Форма 4'!C75/100),2),0)</f>
        <v>0</v>
      </c>
      <c r="Z8" s="25">
        <f>IF(Определители!I8="9",ROUND((C8+E8)*(100-Начисления!M8/100)*('Форма 4'!C75/100),2),0)</f>
        <v>0</v>
      </c>
      <c r="AA8" s="25">
        <f>IF(Определители!I8="9",ROUND((C8+E8)*(Начисления!M8/100)*('Форма 4'!C78/100),2),0)</f>
        <v>0</v>
      </c>
      <c r="AB8" s="25">
        <f>IF(Определители!I8="9",ROUND((C8+E8)*(100-Начисления!M8/100)*('Форма 4'!C78/100),2),0)</f>
        <v>0</v>
      </c>
      <c r="AC8" s="25">
        <f>IF(Определители!I8="9",ROUND(B8*Начисления!M8/100,2),0)</f>
        <v>0</v>
      </c>
      <c r="AD8" s="25">
        <f>IF(Определители!I8="9",ROUND(B8*(100-Начисления!M8)/100,2),0)</f>
        <v>0</v>
      </c>
    </row>
    <row r="9" spans="1:30" ht="10.5">
      <c r="A9" s="25" t="str">
        <f>'Форма 4'!A82</f>
        <v>4.</v>
      </c>
      <c r="B9" s="25">
        <f t="shared" si="0"/>
        <v>149.22</v>
      </c>
      <c r="C9" s="25">
        <f>ROUND('Форма 4'!C82*'Базовые цены за единицу'!C9,2)</f>
        <v>52.56</v>
      </c>
      <c r="D9" s="25">
        <f>ROUND('Форма 4'!C82*'Базовые цены за единицу'!D9,2)</f>
        <v>20.64</v>
      </c>
      <c r="E9" s="25">
        <f>ROUND('Форма 4'!C82*'Базовые цены за единицу'!E9,2)</f>
        <v>1.44</v>
      </c>
      <c r="F9" s="25">
        <f>ROUND('Форма 4'!C82*'Базовые цены за единицу'!F9,2)</f>
        <v>76.02</v>
      </c>
      <c r="G9" s="25">
        <f>ROUND('Форма 4'!C82*'Базовые цены за единицу'!G9,2)</f>
        <v>0</v>
      </c>
      <c r="H9" s="25">
        <f>ROUND('Форма 4'!C82*'Базовые цены за единицу'!H9,2)</f>
        <v>0</v>
      </c>
      <c r="I9" s="29">
        <f>ОКРУГЛВСЕ('Форма 4'!C82*'Базовые цены за единицу'!I9,8)</f>
        <v>5.18535</v>
      </c>
      <c r="J9" s="26">
        <f>ОКРУГЛВСЕ('Форма 4'!C82*'Базовые цены за единицу'!J9,8)</f>
        <v>0</v>
      </c>
      <c r="K9" s="29">
        <f>ОКРУГЛВСЕ('Форма 4'!C82*'Базовые цены за единицу'!K9,8)</f>
        <v>0.12975</v>
      </c>
      <c r="L9" s="25">
        <f>ROUND('Форма 4'!C82*'Базовые цены за единицу'!L9,2)</f>
        <v>0</v>
      </c>
      <c r="M9" s="25">
        <f>ROUND('Форма 4'!C82*'Базовые цены за единицу'!M9,2)</f>
        <v>0</v>
      </c>
      <c r="N9" s="25">
        <f>ROUND((C9+E9)*'Форма 4'!C94/100,2)</f>
        <v>57.24</v>
      </c>
      <c r="O9" s="25">
        <f>ROUND((C9+E9)*'Форма 4'!C97/100,2)</f>
        <v>29.16</v>
      </c>
      <c r="P9" s="25">
        <f>ROUND('Форма 4'!C82*'Базовые цены за единицу'!P9,2)</f>
        <v>55.74</v>
      </c>
      <c r="Q9" s="25">
        <f>ROUND('Форма 4'!C82*'Базовые цены за единицу'!Q9,2)</f>
        <v>1.5</v>
      </c>
      <c r="R9" s="25">
        <f>ROUND('Форма 4'!C82*'Базовые цены за единицу'!R9,2)</f>
        <v>28.38</v>
      </c>
      <c r="S9" s="25">
        <f>ROUND('Форма 4'!C82*'Базовые цены за единицу'!S9,2)</f>
        <v>0.78</v>
      </c>
      <c r="T9" s="25">
        <f>ROUND('Форма 4'!C82*'Базовые цены за единицу'!T9,2)</f>
        <v>0</v>
      </c>
      <c r="U9" s="25">
        <f>ROUND('Форма 4'!C82*'Базовые цены за единицу'!U9,2)</f>
        <v>0</v>
      </c>
      <c r="V9" s="25">
        <f>ROUND('Форма 4'!C82*'Базовые цены за единицу'!V9,2)</f>
        <v>0</v>
      </c>
      <c r="X9" s="25">
        <f>ROUND('Форма 4'!C82*'Базовые цены за единицу'!X9,2)</f>
        <v>0</v>
      </c>
      <c r="Y9" s="25">
        <f>IF(Определители!I9="9",ROUND((C9+E9)*(Начисления!M9/100)*('Форма 4'!C94/100),2),0)</f>
        <v>0</v>
      </c>
      <c r="Z9" s="25">
        <f>IF(Определители!I9="9",ROUND((C9+E9)*(100-Начисления!M9/100)*('Форма 4'!C94/100),2),0)</f>
        <v>0</v>
      </c>
      <c r="AA9" s="25">
        <f>IF(Определители!I9="9",ROUND((C9+E9)*(Начисления!M9/100)*('Форма 4'!C97/100),2),0)</f>
        <v>0</v>
      </c>
      <c r="AB9" s="25">
        <f>IF(Определители!I9="9",ROUND((C9+E9)*(100-Начисления!M9/100)*('Форма 4'!C97/100),2),0)</f>
        <v>0</v>
      </c>
      <c r="AC9" s="25">
        <f>IF(Определители!I9="9",ROUND(B9*Начисления!M9/100,2),0)</f>
        <v>0</v>
      </c>
      <c r="AD9" s="25">
        <f>IF(Определители!I9="9",ROUND(B9*(100-Начисления!M9)/100,2),0)</f>
        <v>0</v>
      </c>
    </row>
    <row r="10" spans="1:30" ht="10.5">
      <c r="A10" s="25" t="str">
        <f>'Форма 4'!A101</f>
        <v>5.</v>
      </c>
      <c r="B10" s="25">
        <f t="shared" si="0"/>
        <v>2325.6</v>
      </c>
      <c r="C10" s="25">
        <f>ROUND('Форма 4'!C101*'Базовые цены за единицу'!C10,2)</f>
        <v>0</v>
      </c>
      <c r="D10" s="25">
        <f>ROUND('Форма 4'!C101*'Базовые цены за единицу'!D10,2)</f>
        <v>0</v>
      </c>
      <c r="E10" s="25">
        <f>ROUND('Форма 4'!C101*'Базовые цены за единицу'!E10,2)</f>
        <v>0</v>
      </c>
      <c r="F10" s="25">
        <f>ROUND('Форма 4'!C101*'Базовые цены за единицу'!F10,2)</f>
        <v>2325.6</v>
      </c>
      <c r="G10" s="25">
        <f>ROUND('Форма 4'!C101*'Базовые цены за единицу'!G10,2)</f>
        <v>2246.4</v>
      </c>
      <c r="H10" s="25">
        <f>ROUND('Форма 4'!C101*'Базовые цены за единицу'!H10,2)</f>
        <v>0</v>
      </c>
      <c r="I10" s="29">
        <f>ОКРУГЛВСЕ('Форма 4'!C101*'Базовые цены за единицу'!I10,8)</f>
        <v>0</v>
      </c>
      <c r="J10" s="26">
        <f>ОКРУГЛВСЕ('Форма 4'!C101*'Базовые цены за единицу'!J10,8)</f>
        <v>0</v>
      </c>
      <c r="K10" s="29">
        <f>ОКРУГЛВСЕ('Форма 4'!C101*'Базовые цены за единицу'!K10,8)</f>
        <v>0</v>
      </c>
      <c r="L10" s="25">
        <f>ROUND('Форма 4'!C101*'Базовые цены за единицу'!L10,2)</f>
        <v>0</v>
      </c>
      <c r="M10" s="25">
        <f>ROUND('Форма 4'!C101*'Базовые цены за единицу'!M10,2)</f>
        <v>0</v>
      </c>
      <c r="N10" s="25">
        <f>ROUND((C10+E10)*'Форма 4'!C113/100,2)</f>
        <v>0</v>
      </c>
      <c r="O10" s="25">
        <f>ROUND((C10+E10)*'Форма 4'!C116/100,2)</f>
        <v>0</v>
      </c>
      <c r="P10" s="25">
        <f>ROUND('Форма 4'!C101*'Базовые цены за единицу'!P10,2)</f>
        <v>0</v>
      </c>
      <c r="Q10" s="25">
        <f>ROUND('Форма 4'!C101*'Базовые цены за единицу'!Q10,2)</f>
        <v>0</v>
      </c>
      <c r="R10" s="25">
        <f>ROUND('Форма 4'!C101*'Базовые цены за единицу'!R10,2)</f>
        <v>0</v>
      </c>
      <c r="S10" s="25">
        <f>ROUND('Форма 4'!C101*'Базовые цены за единицу'!S10,2)</f>
        <v>0</v>
      </c>
      <c r="T10" s="25">
        <f>ROUND('Форма 4'!C101*'Базовые цены за единицу'!T10,2)</f>
        <v>0</v>
      </c>
      <c r="U10" s="25">
        <f>ROUND('Форма 4'!C101*'Базовые цены за единицу'!U10,2)</f>
        <v>0</v>
      </c>
      <c r="V10" s="25">
        <f>ROUND('Форма 4'!C101*'Базовые цены за единицу'!V10,2)</f>
        <v>0</v>
      </c>
      <c r="X10" s="25">
        <f>ROUND('Форма 4'!C101*'Базовые цены за единицу'!X10,2)</f>
        <v>0</v>
      </c>
      <c r="Y10" s="25">
        <f>IF(Определители!I10="9",ROUND((C10+E10)*(Начисления!M10/100)*('Форма 4'!C113/100),2),0)</f>
        <v>0</v>
      </c>
      <c r="Z10" s="25">
        <f>IF(Определители!I10="9",ROUND((C10+E10)*(100-Начисления!M10/100)*('Форма 4'!C113/100),2),0)</f>
        <v>0</v>
      </c>
      <c r="AA10" s="25">
        <f>IF(Определители!I10="9",ROUND((C10+E10)*(Начисления!M10/100)*('Форма 4'!C116/100),2),0)</f>
        <v>0</v>
      </c>
      <c r="AB10" s="25">
        <f>IF(Определители!I10="9",ROUND((C10+E10)*(100-Начисления!M10/100)*('Форма 4'!C116/100),2),0)</f>
        <v>0</v>
      </c>
      <c r="AC10" s="25">
        <f>IF(Определители!I10="9",ROUND(B10*Начисления!M10/100,2),0)</f>
        <v>0</v>
      </c>
      <c r="AD10" s="25">
        <f>IF(Определители!I10="9",ROUND(B10*(100-Начисления!M10)/100,2),0)</f>
        <v>0</v>
      </c>
    </row>
    <row r="11" spans="1:30" ht="10.5">
      <c r="A11" s="25" t="str">
        <f>'Форма 4'!A120</f>
        <v>6.</v>
      </c>
      <c r="B11" s="25">
        <f t="shared" si="0"/>
        <v>68.86</v>
      </c>
      <c r="C11" s="25">
        <f>ROUND('Форма 4'!C120*'Базовые цены за единицу'!C11,2)</f>
        <v>64.51</v>
      </c>
      <c r="D11" s="25">
        <f>ROUND('Форма 4'!C120*'Базовые цены за единицу'!D11,2)</f>
        <v>0</v>
      </c>
      <c r="E11" s="25">
        <f>ROUND('Форма 4'!C120*'Базовые цены за единицу'!E11,2)</f>
        <v>0</v>
      </c>
      <c r="F11" s="25">
        <f>ROUND('Форма 4'!C120*'Базовые цены за единицу'!F11,2)</f>
        <v>4.35</v>
      </c>
      <c r="G11" s="25">
        <f>ROUND('Форма 4'!C120*'Базовые цены за единицу'!G11,2)</f>
        <v>0</v>
      </c>
      <c r="H11" s="25">
        <f>ROUND('Форма 4'!C120*'Базовые цены за единицу'!H11,2)</f>
        <v>0</v>
      </c>
      <c r="I11" s="29">
        <f>ОКРУГЛВСЕ('Форма 4'!C120*'Базовые цены за единицу'!I11,8)</f>
        <v>5.0715</v>
      </c>
      <c r="J11" s="26">
        <f>ОКРУГЛВСЕ('Форма 4'!C120*'Базовые цены за единицу'!J11,8)</f>
        <v>0</v>
      </c>
      <c r="K11" s="29">
        <f>ОКРУГЛВСЕ('Форма 4'!C120*'Базовые цены за единицу'!K11,8)</f>
        <v>0</v>
      </c>
      <c r="L11" s="25">
        <f>ROUND('Форма 4'!C120*'Базовые цены за единицу'!L11,2)</f>
        <v>6993</v>
      </c>
      <c r="M11" s="25">
        <f>ROUND('Форма 4'!C120*'Базовые цены за единицу'!M11,2)</f>
        <v>0</v>
      </c>
      <c r="N11" s="25">
        <f>ROUND((C11+E11)*'Форма 4'!C132/100,2)</f>
        <v>61.28</v>
      </c>
      <c r="O11" s="25">
        <f>ROUND((C11+E11)*'Форма 4'!C135/100,2)</f>
        <v>30.32</v>
      </c>
      <c r="P11" s="25">
        <f>ROUND('Форма 4'!C120*'Базовые цены за единицу'!P11,2)</f>
        <v>61.3</v>
      </c>
      <c r="Q11" s="25">
        <f>ROUND('Форма 4'!C120*'Базовые цены за единицу'!Q11,2)</f>
        <v>0</v>
      </c>
      <c r="R11" s="25">
        <f>ROUND('Форма 4'!C120*'Базовые цены за единицу'!R11,2)</f>
        <v>30.3</v>
      </c>
      <c r="S11" s="25">
        <f>ROUND('Форма 4'!C120*'Базовые цены за единицу'!S11,2)</f>
        <v>0</v>
      </c>
      <c r="T11" s="25">
        <f>ROUND('Форма 4'!C120*'Базовые цены за единицу'!T11,2)</f>
        <v>0</v>
      </c>
      <c r="U11" s="25">
        <f>ROUND('Форма 4'!C120*'Базовые цены за единицу'!U11,2)</f>
        <v>0</v>
      </c>
      <c r="V11" s="25">
        <f>ROUND('Форма 4'!C120*'Базовые цены за единицу'!V11,2)</f>
        <v>0</v>
      </c>
      <c r="X11" s="25">
        <f>ROUND('Форма 4'!C120*'Базовые цены за единицу'!X11,2)</f>
        <v>0</v>
      </c>
      <c r="Y11" s="25">
        <f>IF(Определители!I11="9",ROUND((C11+E11)*(Начисления!M11/100)*('Форма 4'!C132/100),2),0)</f>
        <v>0</v>
      </c>
      <c r="Z11" s="25">
        <f>IF(Определители!I11="9",ROUND((C11+E11)*(100-Начисления!M11/100)*('Форма 4'!C132/100),2),0)</f>
        <v>0</v>
      </c>
      <c r="AA11" s="25">
        <f>IF(Определители!I11="9",ROUND((C11+E11)*(Начисления!M11/100)*('Форма 4'!C135/100),2),0)</f>
        <v>0</v>
      </c>
      <c r="AB11" s="25">
        <f>IF(Определители!I11="9",ROUND((C11+E11)*(100-Начисления!M11/100)*('Форма 4'!C135/100),2),0)</f>
        <v>0</v>
      </c>
      <c r="AC11" s="25">
        <f>IF(Определители!I11="9",ROUND(B11*Начисления!M11/100,2),0)</f>
        <v>0</v>
      </c>
      <c r="AD11" s="25">
        <f>IF(Определители!I11="9",ROUND(B11*(100-Начисления!M11)/100,2),0)</f>
        <v>0</v>
      </c>
    </row>
    <row r="12" spans="1:30" ht="10.5">
      <c r="A12" s="25" t="str">
        <f>'Форма 4'!A139</f>
        <v>7.</v>
      </c>
      <c r="B12" s="25">
        <f t="shared" si="0"/>
        <v>0.56</v>
      </c>
      <c r="C12" s="25">
        <f>ROUND('Форма 4'!C139*'Базовые цены за единицу'!C12,2)</f>
        <v>0</v>
      </c>
      <c r="D12" s="25">
        <f>ROUND('Форма 4'!C139*'Базовые цены за единицу'!D12,2)</f>
        <v>0.56</v>
      </c>
      <c r="E12" s="25">
        <f>ROUND('Форма 4'!C139*'Базовые цены за единицу'!E12,2)</f>
        <v>0</v>
      </c>
      <c r="F12" s="25">
        <f>ROUND('Форма 4'!C139*'Базовые цены за единицу'!F12,2)</f>
        <v>0</v>
      </c>
      <c r="G12" s="25">
        <f>ROUND('Форма 4'!C139*'Базовые цены за единицу'!G12,2)</f>
        <v>0</v>
      </c>
      <c r="H12" s="25">
        <f>ROUND('Форма 4'!C139*'Базовые цены за единицу'!H12,2)</f>
        <v>0</v>
      </c>
      <c r="I12" s="29">
        <f>ОКРУГЛВСЕ('Форма 4'!C139*'Базовые цены за единицу'!I12,8)</f>
        <v>0</v>
      </c>
      <c r="J12" s="26">
        <f>ОКРУГЛВСЕ('Форма 4'!C139*'Базовые цены за единицу'!J12,8)</f>
        <v>0</v>
      </c>
      <c r="K12" s="29">
        <f>ОКРУГЛВСЕ('Форма 4'!C139*'Базовые цены за единицу'!K12,8)</f>
        <v>0</v>
      </c>
      <c r="L12" s="25">
        <f>ROUND('Форма 4'!C139*'Базовые цены за единицу'!L12,2)</f>
        <v>0</v>
      </c>
      <c r="M12" s="25">
        <f>ROUND('Форма 4'!C139*'Базовые цены за единицу'!M12,2)</f>
        <v>0</v>
      </c>
      <c r="N12" s="25">
        <f>ROUND((C12+E12)*'Форма 4'!C150/100,2)</f>
        <v>0</v>
      </c>
      <c r="O12" s="25">
        <f>ROUND((C12+E12)*'Форма 4'!C153/100,2)</f>
        <v>0</v>
      </c>
      <c r="P12" s="25">
        <f>ROUND('Форма 4'!C139*'Базовые цены за единицу'!P12,2)</f>
        <v>0</v>
      </c>
      <c r="Q12" s="25">
        <f>ROUND('Форма 4'!C139*'Базовые цены за единицу'!Q12,2)</f>
        <v>0</v>
      </c>
      <c r="R12" s="25">
        <f>ROUND('Форма 4'!C139*'Базовые цены за единицу'!R12,2)</f>
        <v>0</v>
      </c>
      <c r="S12" s="25">
        <f>ROUND('Форма 4'!C139*'Базовые цены за единицу'!S12,2)</f>
        <v>0</v>
      </c>
      <c r="T12" s="25">
        <f>ROUND('Форма 4'!C139*'Базовые цены за единицу'!T12,2)</f>
        <v>0</v>
      </c>
      <c r="U12" s="25">
        <f>ROUND('Форма 4'!C139*'Базовые цены за единицу'!U12,2)</f>
        <v>0</v>
      </c>
      <c r="V12" s="25">
        <f>ROUND('Форма 4'!C139*'Базовые цены за единицу'!V12,2)</f>
        <v>0</v>
      </c>
      <c r="X12" s="25">
        <f>ROUND('Форма 4'!C139*'Базовые цены за единицу'!X12,2)</f>
        <v>0</v>
      </c>
      <c r="Y12" s="25">
        <f>IF(Определители!I12="9",ROUND((C12+E12)*(Начисления!M12/100)*('Форма 4'!C150/100),2),0)</f>
        <v>0</v>
      </c>
      <c r="Z12" s="25">
        <f>IF(Определители!I12="9",ROUND((C12+E12)*(100-Начисления!M12/100)*('Форма 4'!C150/100),2),0)</f>
        <v>0</v>
      </c>
      <c r="AA12" s="25">
        <f>IF(Определители!I12="9",ROUND((C12+E12)*(Начисления!M12/100)*('Форма 4'!C153/100),2),0)</f>
        <v>0</v>
      </c>
      <c r="AB12" s="25">
        <f>IF(Определители!I12="9",ROUND((C12+E12)*(100-Начисления!M12/100)*('Форма 4'!C153/100),2),0)</f>
        <v>0</v>
      </c>
      <c r="AC12" s="25">
        <f>IF(Определители!I12="9",ROUND(B12*Начисления!M12/100,2),0)</f>
        <v>0</v>
      </c>
      <c r="AD12" s="25">
        <f>IF(Определители!I12="9",ROUND(B12*(100-Начисления!M12)/100,2),0)</f>
        <v>0</v>
      </c>
    </row>
    <row r="13" spans="1:30" ht="10.5">
      <c r="A13" s="25" t="str">
        <f>'Форма 4'!A157</f>
        <v>8.</v>
      </c>
      <c r="B13" s="25">
        <f t="shared" si="0"/>
        <v>1.26</v>
      </c>
      <c r="C13" s="25">
        <f>ROUND('Форма 4'!C157*'Базовые цены за единицу'!C13,2)</f>
        <v>0</v>
      </c>
      <c r="D13" s="25">
        <f>ROUND('Форма 4'!C157*'Базовые цены за единицу'!D13,2)</f>
        <v>0</v>
      </c>
      <c r="E13" s="25">
        <f>ROUND('Форма 4'!C157*'Базовые цены за единицу'!E13,2)</f>
        <v>0</v>
      </c>
      <c r="F13" s="25">
        <f>ROUND('Форма 4'!C157*'Базовые цены за единицу'!F13,2)</f>
        <v>1.26</v>
      </c>
      <c r="G13" s="25">
        <f>ROUND('Форма 4'!C157*'Базовые цены за единицу'!G13,2)</f>
        <v>0</v>
      </c>
      <c r="H13" s="25">
        <f>ROUND('Форма 4'!C157*'Базовые цены за единицу'!H13,2)</f>
        <v>0</v>
      </c>
      <c r="I13" s="29">
        <f>ОКРУГЛВСЕ('Форма 4'!C157*'Базовые цены за единицу'!I13,8)</f>
        <v>0</v>
      </c>
      <c r="J13" s="26">
        <f>ОКРУГЛВСЕ('Форма 4'!C157*'Базовые цены за единицу'!J13,8)</f>
        <v>0</v>
      </c>
      <c r="K13" s="29">
        <f>ОКРУГЛВСЕ('Форма 4'!C157*'Базовые цены за единицу'!K13,8)</f>
        <v>0</v>
      </c>
      <c r="L13" s="25">
        <f>ROUND('Форма 4'!C157*'Базовые цены за единицу'!L13,2)</f>
        <v>0</v>
      </c>
      <c r="M13" s="25">
        <f>ROUND('Форма 4'!C157*'Базовые цены за единицу'!M13,2)</f>
        <v>0</v>
      </c>
      <c r="N13" s="25">
        <f>ROUND((C13+E13)*'Форма 4'!C168/100,2)</f>
        <v>0</v>
      </c>
      <c r="O13" s="25">
        <f>ROUND((C13+E13)*'Форма 4'!C171/100,2)</f>
        <v>0</v>
      </c>
      <c r="P13" s="25">
        <f>ROUND('Форма 4'!C157*'Базовые цены за единицу'!P13,2)</f>
        <v>0</v>
      </c>
      <c r="Q13" s="25">
        <f>ROUND('Форма 4'!C157*'Базовые цены за единицу'!Q13,2)</f>
        <v>0</v>
      </c>
      <c r="R13" s="25">
        <f>ROUND('Форма 4'!C157*'Базовые цены за единицу'!R13,2)</f>
        <v>0</v>
      </c>
      <c r="S13" s="25">
        <f>ROUND('Форма 4'!C157*'Базовые цены за единицу'!S13,2)</f>
        <v>0</v>
      </c>
      <c r="T13" s="25">
        <f>ROUND('Форма 4'!C157*'Базовые цены за единицу'!T13,2)</f>
        <v>0</v>
      </c>
      <c r="U13" s="25">
        <f>ROUND('Форма 4'!C157*'Базовые цены за единицу'!U13,2)</f>
        <v>0</v>
      </c>
      <c r="V13" s="25">
        <f>ROUND('Форма 4'!C157*'Базовые цены за единицу'!V13,2)</f>
        <v>0</v>
      </c>
      <c r="X13" s="25">
        <f>ROUND('Форма 4'!C157*'Базовые цены за единицу'!X13,2)</f>
        <v>0</v>
      </c>
      <c r="Y13" s="25">
        <f>IF(Определители!I13="9",ROUND((C13+E13)*(Начисления!M13/100)*('Форма 4'!C168/100),2),0)</f>
        <v>0</v>
      </c>
      <c r="Z13" s="25">
        <f>IF(Определители!I13="9",ROUND((C13+E13)*(100-Начисления!M13/100)*('Форма 4'!C168/100),2),0)</f>
        <v>0</v>
      </c>
      <c r="AA13" s="25">
        <f>IF(Определители!I13="9",ROUND((C13+E13)*(Начисления!M13/100)*('Форма 4'!C171/100),2),0)</f>
        <v>0</v>
      </c>
      <c r="AB13" s="25">
        <f>IF(Определители!I13="9",ROUND((C13+E13)*(100-Начисления!M13/100)*('Форма 4'!C171/100),2),0)</f>
        <v>0</v>
      </c>
      <c r="AC13" s="25">
        <f>IF(Определители!I13="9",ROUND(B13*Начисления!M13/100,2),0)</f>
        <v>0</v>
      </c>
      <c r="AD13" s="25">
        <f>IF(Определители!I13="9",ROUND(B13*(100-Начисления!M13)/100,2),0)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X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6" customWidth="1"/>
    <col min="2" max="16384" width="9.140625" style="25" customWidth="1"/>
  </cols>
  <sheetData>
    <row r="1" spans="1:50" s="27" customFormat="1" ht="10.5">
      <c r="A1" s="8"/>
      <c r="B1" s="27" t="s">
        <v>161</v>
      </c>
      <c r="C1" s="27" t="s">
        <v>162</v>
      </c>
      <c r="D1" s="27" t="s">
        <v>163</v>
      </c>
      <c r="E1" s="27" t="s">
        <v>164</v>
      </c>
      <c r="F1" s="27" t="s">
        <v>165</v>
      </c>
      <c r="G1" s="27" t="s">
        <v>166</v>
      </c>
      <c r="H1" s="27" t="s">
        <v>167</v>
      </c>
      <c r="I1" s="27" t="s">
        <v>168</v>
      </c>
      <c r="J1" s="27" t="s">
        <v>169</v>
      </c>
      <c r="K1" s="27" t="s">
        <v>170</v>
      </c>
      <c r="L1" s="27" t="s">
        <v>171</v>
      </c>
      <c r="M1" s="27" t="s">
        <v>172</v>
      </c>
      <c r="N1" s="27" t="s">
        <v>173</v>
      </c>
      <c r="O1" s="27" t="s">
        <v>174</v>
      </c>
      <c r="P1" s="27" t="s">
        <v>175</v>
      </c>
      <c r="Q1" s="27" t="s">
        <v>176</v>
      </c>
      <c r="R1" s="27" t="s">
        <v>177</v>
      </c>
      <c r="S1" s="27" t="s">
        <v>178</v>
      </c>
      <c r="T1" s="27" t="s">
        <v>179</v>
      </c>
      <c r="U1" s="27" t="s">
        <v>180</v>
      </c>
      <c r="V1" s="27" t="s">
        <v>181</v>
      </c>
      <c r="W1" s="27" t="s">
        <v>182</v>
      </c>
      <c r="X1" s="27" t="s">
        <v>183</v>
      </c>
      <c r="Y1" s="27" t="s">
        <v>184</v>
      </c>
      <c r="Z1" s="27" t="s">
        <v>185</v>
      </c>
      <c r="AA1" s="27" t="s">
        <v>186</v>
      </c>
      <c r="AB1" s="27" t="s">
        <v>187</v>
      </c>
      <c r="AC1" s="27" t="s">
        <v>188</v>
      </c>
      <c r="AD1" s="27" t="s">
        <v>189</v>
      </c>
      <c r="AE1" s="27" t="s">
        <v>190</v>
      </c>
      <c r="AF1" s="27" t="s">
        <v>191</v>
      </c>
      <c r="AG1" s="27" t="s">
        <v>192</v>
      </c>
      <c r="AH1" s="27" t="s">
        <v>193</v>
      </c>
      <c r="AI1" s="27" t="s">
        <v>194</v>
      </c>
      <c r="AJ1" s="27" t="s">
        <v>195</v>
      </c>
      <c r="AK1" s="27" t="s">
        <v>196</v>
      </c>
      <c r="AL1" s="27" t="s">
        <v>197</v>
      </c>
      <c r="AM1" s="27" t="s">
        <v>198</v>
      </c>
      <c r="AN1" s="27" t="s">
        <v>199</v>
      </c>
      <c r="AO1" s="27" t="s">
        <v>200</v>
      </c>
      <c r="AP1" s="27" t="s">
        <v>201</v>
      </c>
      <c r="AQ1" s="27" t="s">
        <v>202</v>
      </c>
      <c r="AR1" s="27" t="s">
        <v>203</v>
      </c>
      <c r="AS1" s="27" t="s">
        <v>204</v>
      </c>
      <c r="AT1" s="27" t="s">
        <v>205</v>
      </c>
      <c r="AU1" s="27" t="s">
        <v>206</v>
      </c>
      <c r="AV1" s="27" t="s">
        <v>207</v>
      </c>
      <c r="AW1" s="27" t="s">
        <v>208</v>
      </c>
      <c r="AX1" s="27" t="s">
        <v>209</v>
      </c>
    </row>
    <row r="2" spans="1:10" ht="10.5">
      <c r="A2" s="64"/>
      <c r="B2" s="65"/>
      <c r="C2" s="65"/>
      <c r="D2" s="65"/>
      <c r="E2" s="65"/>
      <c r="F2" s="65"/>
      <c r="G2" s="65"/>
      <c r="H2" s="65"/>
      <c r="I2" s="65"/>
      <c r="J2" s="65"/>
    </row>
    <row r="3" spans="1:10" ht="10.5">
      <c r="A3" s="28"/>
      <c r="B3" s="66" t="s">
        <v>159</v>
      </c>
      <c r="C3" s="66"/>
      <c r="D3" s="66"/>
      <c r="E3" s="66"/>
      <c r="F3" s="66"/>
      <c r="G3" s="66"/>
      <c r="H3" s="66"/>
      <c r="I3" s="66"/>
      <c r="J3" s="66"/>
    </row>
    <row r="4" spans="1:10" ht="10.5">
      <c r="A4" s="28"/>
      <c r="B4" s="66" t="s">
        <v>160</v>
      </c>
      <c r="C4" s="66"/>
      <c r="D4" s="66"/>
      <c r="E4" s="66"/>
      <c r="F4" s="66"/>
      <c r="G4" s="66"/>
      <c r="H4" s="66"/>
      <c r="I4" s="66"/>
      <c r="J4" s="66"/>
    </row>
    <row r="5" spans="1:10" ht="10.5">
      <c r="A5" s="64"/>
      <c r="B5" s="65"/>
      <c r="C5" s="65"/>
      <c r="D5" s="65"/>
      <c r="E5" s="65"/>
      <c r="F5" s="65"/>
      <c r="G5" s="65"/>
      <c r="H5" s="65"/>
      <c r="I5" s="65"/>
      <c r="J5" s="65"/>
    </row>
    <row r="6" spans="1:50" ht="10.5">
      <c r="A6" s="26" t="str">
        <f>'Форма 4'!A26</f>
        <v>1.</v>
      </c>
      <c r="B6" s="26">
        <v>1</v>
      </c>
      <c r="C6" s="26">
        <v>1</v>
      </c>
      <c r="D6" s="26">
        <v>0.6</v>
      </c>
      <c r="E6" s="26">
        <v>0.6</v>
      </c>
      <c r="F6" s="26">
        <v>0.6</v>
      </c>
      <c r="G6" s="26">
        <v>1</v>
      </c>
      <c r="H6" s="26">
        <v>1</v>
      </c>
      <c r="I6" s="26">
        <v>1</v>
      </c>
      <c r="J6" s="26">
        <v>1</v>
      </c>
      <c r="K6" s="26">
        <v>0</v>
      </c>
      <c r="L6" s="26">
        <v>0</v>
      </c>
      <c r="M6" s="26">
        <v>100</v>
      </c>
      <c r="N6" s="26">
        <v>0</v>
      </c>
      <c r="O6" s="26">
        <v>0</v>
      </c>
      <c r="P6" s="26">
        <v>1</v>
      </c>
      <c r="Q6" s="26">
        <v>1</v>
      </c>
      <c r="R6" s="26">
        <v>0</v>
      </c>
      <c r="S6" s="26">
        <v>0</v>
      </c>
      <c r="T6" s="26">
        <v>1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1.7</v>
      </c>
      <c r="AH6" s="26">
        <v>1.6</v>
      </c>
      <c r="AI6" s="26">
        <v>1.29</v>
      </c>
      <c r="AJ6" s="26">
        <v>0.092</v>
      </c>
      <c r="AK6" s="26">
        <v>0.18</v>
      </c>
      <c r="AL6" s="26">
        <v>1</v>
      </c>
      <c r="AM6" s="26">
        <v>1</v>
      </c>
      <c r="AN6" s="26">
        <v>0.2</v>
      </c>
      <c r="AO6" s="26">
        <v>1.5</v>
      </c>
      <c r="AP6" s="26">
        <v>1</v>
      </c>
      <c r="AQ6" s="26">
        <v>1</v>
      </c>
      <c r="AR6" s="26">
        <v>1</v>
      </c>
      <c r="AS6" s="26">
        <v>1</v>
      </c>
      <c r="AT6" s="26">
        <v>1</v>
      </c>
      <c r="AU6" s="26">
        <v>100</v>
      </c>
      <c r="AV6" s="26">
        <v>1</v>
      </c>
      <c r="AW6" s="26">
        <v>0</v>
      </c>
      <c r="AX6" s="26">
        <v>1</v>
      </c>
    </row>
    <row r="7" spans="1:50" ht="10.5">
      <c r="A7" s="26" t="str">
        <f>'Форма 4'!A45</f>
        <v>2.</v>
      </c>
      <c r="B7" s="26">
        <v>1</v>
      </c>
      <c r="C7" s="26">
        <v>1</v>
      </c>
      <c r="D7" s="26">
        <v>1</v>
      </c>
      <c r="E7" s="26">
        <v>1</v>
      </c>
      <c r="F7" s="26">
        <v>1</v>
      </c>
      <c r="G7" s="26">
        <v>1</v>
      </c>
      <c r="H7" s="26">
        <v>1</v>
      </c>
      <c r="I7" s="26">
        <v>1</v>
      </c>
      <c r="J7" s="26">
        <v>1</v>
      </c>
      <c r="K7" s="26">
        <v>0</v>
      </c>
      <c r="L7" s="26">
        <v>0</v>
      </c>
      <c r="M7" s="26">
        <v>100</v>
      </c>
      <c r="N7" s="26">
        <v>0</v>
      </c>
      <c r="O7" s="26">
        <v>0</v>
      </c>
      <c r="P7" s="26">
        <v>1</v>
      </c>
      <c r="Q7" s="26">
        <v>1</v>
      </c>
      <c r="R7" s="26">
        <v>0</v>
      </c>
      <c r="S7" s="26">
        <v>0</v>
      </c>
      <c r="T7" s="26">
        <v>1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1.7</v>
      </c>
      <c r="AH7" s="26">
        <v>1.6</v>
      </c>
      <c r="AI7" s="26">
        <v>1.29</v>
      </c>
      <c r="AJ7" s="26">
        <v>0.092</v>
      </c>
      <c r="AK7" s="26">
        <v>0.18</v>
      </c>
      <c r="AL7" s="26">
        <v>1</v>
      </c>
      <c r="AM7" s="26">
        <v>1</v>
      </c>
      <c r="AN7" s="26">
        <v>0.2</v>
      </c>
      <c r="AO7" s="26">
        <v>1.5</v>
      </c>
      <c r="AP7" s="26">
        <v>1</v>
      </c>
      <c r="AQ7" s="26">
        <v>1</v>
      </c>
      <c r="AR7" s="26">
        <v>1</v>
      </c>
      <c r="AS7" s="26">
        <v>1</v>
      </c>
      <c r="AT7" s="26">
        <v>1</v>
      </c>
      <c r="AU7" s="26">
        <v>100</v>
      </c>
      <c r="AV7" s="26">
        <v>1</v>
      </c>
      <c r="AW7" s="26">
        <v>1</v>
      </c>
      <c r="AX7" s="26">
        <v>1</v>
      </c>
    </row>
    <row r="8" spans="1:50" ht="10.5">
      <c r="A8" s="26" t="str">
        <f>'Форма 4'!A63</f>
        <v>3.</v>
      </c>
      <c r="B8" s="26">
        <v>1</v>
      </c>
      <c r="C8" s="26">
        <v>1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26">
        <v>0</v>
      </c>
      <c r="L8" s="26">
        <v>0</v>
      </c>
      <c r="M8" s="26">
        <v>100</v>
      </c>
      <c r="N8" s="26">
        <v>0</v>
      </c>
      <c r="O8" s="26">
        <v>0</v>
      </c>
      <c r="P8" s="26">
        <v>1</v>
      </c>
      <c r="Q8" s="26">
        <v>1</v>
      </c>
      <c r="R8" s="26">
        <v>0</v>
      </c>
      <c r="S8" s="26">
        <v>0</v>
      </c>
      <c r="T8" s="26">
        <v>1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1.7</v>
      </c>
      <c r="AH8" s="26">
        <v>1.6</v>
      </c>
      <c r="AI8" s="26">
        <v>1.29</v>
      </c>
      <c r="AJ8" s="26">
        <v>0.092</v>
      </c>
      <c r="AK8" s="26">
        <v>0.18</v>
      </c>
      <c r="AL8" s="26">
        <v>1</v>
      </c>
      <c r="AM8" s="26">
        <v>1</v>
      </c>
      <c r="AN8" s="26">
        <v>0.2</v>
      </c>
      <c r="AO8" s="26">
        <v>1.5</v>
      </c>
      <c r="AP8" s="26">
        <v>1</v>
      </c>
      <c r="AQ8" s="26">
        <v>1</v>
      </c>
      <c r="AR8" s="26">
        <v>1</v>
      </c>
      <c r="AS8" s="26">
        <v>1</v>
      </c>
      <c r="AT8" s="26">
        <v>1</v>
      </c>
      <c r="AU8" s="26">
        <v>100</v>
      </c>
      <c r="AV8" s="26">
        <v>1</v>
      </c>
      <c r="AW8" s="26">
        <v>1</v>
      </c>
      <c r="AX8" s="26">
        <v>1</v>
      </c>
    </row>
    <row r="9" spans="1:50" ht="10.5">
      <c r="A9" s="26" t="str">
        <f>'Форма 4'!A82</f>
        <v>4.</v>
      </c>
      <c r="B9" s="26">
        <v>1</v>
      </c>
      <c r="C9" s="26">
        <v>1</v>
      </c>
      <c r="D9" s="26">
        <v>1.25</v>
      </c>
      <c r="E9" s="26">
        <v>1.25</v>
      </c>
      <c r="F9" s="26">
        <v>1.15</v>
      </c>
      <c r="G9" s="26">
        <v>1</v>
      </c>
      <c r="H9" s="26">
        <v>1</v>
      </c>
      <c r="I9" s="26">
        <v>1</v>
      </c>
      <c r="J9" s="26">
        <v>1</v>
      </c>
      <c r="K9" s="26">
        <v>0</v>
      </c>
      <c r="L9" s="26">
        <v>0</v>
      </c>
      <c r="M9" s="26">
        <v>100</v>
      </c>
      <c r="N9" s="26">
        <v>0</v>
      </c>
      <c r="O9" s="26">
        <v>0</v>
      </c>
      <c r="P9" s="26">
        <v>1</v>
      </c>
      <c r="Q9" s="26">
        <v>1</v>
      </c>
      <c r="R9" s="26">
        <v>0</v>
      </c>
      <c r="S9" s="26">
        <v>0</v>
      </c>
      <c r="T9" s="26">
        <v>1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1.7</v>
      </c>
      <c r="AH9" s="26">
        <v>1.6</v>
      </c>
      <c r="AI9" s="26">
        <v>1.29</v>
      </c>
      <c r="AJ9" s="26">
        <v>0.092</v>
      </c>
      <c r="AK9" s="26">
        <v>0.18</v>
      </c>
      <c r="AL9" s="26">
        <v>1</v>
      </c>
      <c r="AM9" s="26">
        <v>1</v>
      </c>
      <c r="AN9" s="26">
        <v>0.2</v>
      </c>
      <c r="AO9" s="26">
        <v>1.5</v>
      </c>
      <c r="AP9" s="26">
        <v>1</v>
      </c>
      <c r="AQ9" s="26">
        <v>1</v>
      </c>
      <c r="AR9" s="26">
        <v>1</v>
      </c>
      <c r="AS9" s="26">
        <v>1</v>
      </c>
      <c r="AT9" s="26">
        <v>1</v>
      </c>
      <c r="AU9" s="26">
        <v>100</v>
      </c>
      <c r="AV9" s="26">
        <v>1</v>
      </c>
      <c r="AW9" s="26">
        <v>1</v>
      </c>
      <c r="AX9" s="26">
        <v>1</v>
      </c>
    </row>
    <row r="10" spans="1:50" ht="10.5">
      <c r="A10" s="26" t="str">
        <f>'Форма 4'!A101</f>
        <v>5.</v>
      </c>
      <c r="B10" s="26">
        <v>1</v>
      </c>
      <c r="C10" s="26">
        <v>1</v>
      </c>
      <c r="D10" s="26">
        <v>1</v>
      </c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26">
        <v>1</v>
      </c>
      <c r="K10" s="26">
        <v>0</v>
      </c>
      <c r="L10" s="26">
        <v>0</v>
      </c>
      <c r="M10" s="26">
        <v>100</v>
      </c>
      <c r="N10" s="26">
        <v>0</v>
      </c>
      <c r="O10" s="26">
        <v>0</v>
      </c>
      <c r="P10" s="26">
        <v>1</v>
      </c>
      <c r="Q10" s="26">
        <v>1</v>
      </c>
      <c r="R10" s="26">
        <v>0</v>
      </c>
      <c r="S10" s="26">
        <v>0</v>
      </c>
      <c r="T10" s="26">
        <v>1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1.7</v>
      </c>
      <c r="AH10" s="26">
        <v>1.6</v>
      </c>
      <c r="AI10" s="26">
        <v>1.29</v>
      </c>
      <c r="AJ10" s="26">
        <v>0.092</v>
      </c>
      <c r="AK10" s="26">
        <v>0.18</v>
      </c>
      <c r="AL10" s="26">
        <v>1</v>
      </c>
      <c r="AM10" s="26">
        <v>1</v>
      </c>
      <c r="AN10" s="26">
        <v>0.2</v>
      </c>
      <c r="AO10" s="26">
        <v>1.5</v>
      </c>
      <c r="AP10" s="26">
        <v>1</v>
      </c>
      <c r="AQ10" s="26">
        <v>1</v>
      </c>
      <c r="AR10" s="26">
        <v>1</v>
      </c>
      <c r="AS10" s="26">
        <v>1</v>
      </c>
      <c r="AT10" s="26">
        <v>1</v>
      </c>
      <c r="AU10" s="26">
        <v>100</v>
      </c>
      <c r="AV10" s="26">
        <v>1</v>
      </c>
      <c r="AW10" s="26">
        <v>1</v>
      </c>
      <c r="AX10" s="26">
        <v>1</v>
      </c>
    </row>
    <row r="11" spans="1:50" ht="10.5">
      <c r="A11" s="26" t="str">
        <f>'Форма 4'!A120</f>
        <v>6.</v>
      </c>
      <c r="B11" s="26">
        <v>1</v>
      </c>
      <c r="C11" s="26">
        <v>1</v>
      </c>
      <c r="D11" s="26">
        <v>1.25</v>
      </c>
      <c r="E11" s="26">
        <v>1.25</v>
      </c>
      <c r="F11" s="26">
        <v>1.15</v>
      </c>
      <c r="G11" s="26">
        <v>1</v>
      </c>
      <c r="H11" s="26">
        <v>1</v>
      </c>
      <c r="I11" s="26">
        <v>1</v>
      </c>
      <c r="J11" s="26">
        <v>1</v>
      </c>
      <c r="K11" s="26">
        <v>0</v>
      </c>
      <c r="L11" s="26">
        <v>0</v>
      </c>
      <c r="M11" s="26">
        <v>100</v>
      </c>
      <c r="N11" s="26">
        <v>0</v>
      </c>
      <c r="O11" s="26">
        <v>0</v>
      </c>
      <c r="P11" s="26">
        <v>1</v>
      </c>
      <c r="Q11" s="26">
        <v>1</v>
      </c>
      <c r="R11" s="26">
        <v>0</v>
      </c>
      <c r="S11" s="26">
        <v>0</v>
      </c>
      <c r="T11" s="26">
        <v>1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1.7</v>
      </c>
      <c r="AH11" s="26">
        <v>1.6</v>
      </c>
      <c r="AI11" s="26">
        <v>1.29</v>
      </c>
      <c r="AJ11" s="26">
        <v>0.092</v>
      </c>
      <c r="AK11" s="26">
        <v>0.18</v>
      </c>
      <c r="AL11" s="26">
        <v>1</v>
      </c>
      <c r="AM11" s="26">
        <v>1</v>
      </c>
      <c r="AN11" s="26">
        <v>0.2</v>
      </c>
      <c r="AO11" s="26">
        <v>1.5</v>
      </c>
      <c r="AP11" s="26">
        <v>1</v>
      </c>
      <c r="AQ11" s="26">
        <v>1</v>
      </c>
      <c r="AR11" s="26">
        <v>1</v>
      </c>
      <c r="AS11" s="26">
        <v>1</v>
      </c>
      <c r="AT11" s="26">
        <v>1</v>
      </c>
      <c r="AU11" s="26">
        <v>100</v>
      </c>
      <c r="AV11" s="26">
        <v>1</v>
      </c>
      <c r="AW11" s="26">
        <v>1</v>
      </c>
      <c r="AX11" s="26">
        <v>1</v>
      </c>
    </row>
    <row r="12" spans="1:50" ht="10.5">
      <c r="A12" s="26" t="str">
        <f>'Форма 4'!A139</f>
        <v>7.</v>
      </c>
      <c r="B12" s="26">
        <v>1</v>
      </c>
      <c r="C12" s="26">
        <v>1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>
        <v>0</v>
      </c>
      <c r="L12" s="26">
        <v>0</v>
      </c>
      <c r="M12" s="26">
        <v>100</v>
      </c>
      <c r="N12" s="26">
        <v>0</v>
      </c>
      <c r="O12" s="26">
        <v>0</v>
      </c>
      <c r="P12" s="26">
        <v>1</v>
      </c>
      <c r="Q12" s="26">
        <v>1</v>
      </c>
      <c r="R12" s="26">
        <v>0</v>
      </c>
      <c r="S12" s="26">
        <v>0</v>
      </c>
      <c r="T12" s="26">
        <v>1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1.7</v>
      </c>
      <c r="AH12" s="26">
        <v>1.6</v>
      </c>
      <c r="AI12" s="26">
        <v>1.29</v>
      </c>
      <c r="AJ12" s="26">
        <v>0.092</v>
      </c>
      <c r="AK12" s="26">
        <v>0.18</v>
      </c>
      <c r="AL12" s="26">
        <v>1</v>
      </c>
      <c r="AM12" s="26">
        <v>1</v>
      </c>
      <c r="AN12" s="26">
        <v>0.2</v>
      </c>
      <c r="AO12" s="26">
        <v>1.5</v>
      </c>
      <c r="AP12" s="26">
        <v>1</v>
      </c>
      <c r="AQ12" s="26">
        <v>1</v>
      </c>
      <c r="AR12" s="26">
        <v>1</v>
      </c>
      <c r="AS12" s="26">
        <v>1</v>
      </c>
      <c r="AT12" s="26">
        <v>1</v>
      </c>
      <c r="AU12" s="26">
        <v>100</v>
      </c>
      <c r="AV12" s="26">
        <v>1</v>
      </c>
      <c r="AW12" s="26">
        <v>1</v>
      </c>
      <c r="AX12" s="26">
        <v>1</v>
      </c>
    </row>
    <row r="13" spans="1:50" ht="10.5">
      <c r="A13" s="26" t="str">
        <f>'Форма 4'!A157</f>
        <v>8.</v>
      </c>
      <c r="B13" s="26">
        <v>1</v>
      </c>
      <c r="C13" s="26">
        <v>1</v>
      </c>
      <c r="D13" s="26">
        <v>1</v>
      </c>
      <c r="E13" s="26">
        <v>1</v>
      </c>
      <c r="F13" s="26">
        <v>1</v>
      </c>
      <c r="G13" s="26">
        <v>1</v>
      </c>
      <c r="H13" s="26">
        <v>1</v>
      </c>
      <c r="I13" s="26">
        <v>1</v>
      </c>
      <c r="J13" s="26">
        <v>1</v>
      </c>
      <c r="K13" s="26">
        <v>0</v>
      </c>
      <c r="L13" s="26">
        <v>0</v>
      </c>
      <c r="M13" s="26">
        <v>100</v>
      </c>
      <c r="N13" s="26">
        <v>0</v>
      </c>
      <c r="O13" s="26">
        <v>0</v>
      </c>
      <c r="P13" s="26">
        <v>1</v>
      </c>
      <c r="Q13" s="26">
        <v>1</v>
      </c>
      <c r="R13" s="26">
        <v>0</v>
      </c>
      <c r="S13" s="26">
        <v>0</v>
      </c>
      <c r="T13" s="26">
        <v>1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1.7</v>
      </c>
      <c r="AH13" s="26">
        <v>1.6</v>
      </c>
      <c r="AI13" s="26">
        <v>1.29</v>
      </c>
      <c r="AJ13" s="26">
        <v>0.092</v>
      </c>
      <c r="AK13" s="26">
        <v>0.18</v>
      </c>
      <c r="AL13" s="26">
        <v>1</v>
      </c>
      <c r="AM13" s="26">
        <v>1</v>
      </c>
      <c r="AN13" s="26">
        <v>0.2</v>
      </c>
      <c r="AO13" s="26">
        <v>1.5</v>
      </c>
      <c r="AP13" s="26">
        <v>1</v>
      </c>
      <c r="AQ13" s="26">
        <v>1</v>
      </c>
      <c r="AR13" s="26">
        <v>1</v>
      </c>
      <c r="AS13" s="26">
        <v>1</v>
      </c>
      <c r="AT13" s="26">
        <v>1</v>
      </c>
      <c r="AU13" s="26">
        <v>100</v>
      </c>
      <c r="AV13" s="26">
        <v>1</v>
      </c>
      <c r="AW13" s="26">
        <v>1</v>
      </c>
      <c r="AX13" s="26">
        <v>1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31" customWidth="1"/>
    <col min="2" max="16384" width="9.140625" style="30" customWidth="1"/>
  </cols>
  <sheetData>
    <row r="1" spans="2:10" s="27" customFormat="1" ht="10.5">
      <c r="B1" s="27" t="s">
        <v>210</v>
      </c>
      <c r="C1" s="27" t="s">
        <v>211</v>
      </c>
      <c r="D1" s="27" t="s">
        <v>212</v>
      </c>
      <c r="E1" s="27" t="s">
        <v>213</v>
      </c>
      <c r="F1" s="27" t="s">
        <v>214</v>
      </c>
      <c r="G1" s="27" t="s">
        <v>215</v>
      </c>
      <c r="H1" s="27" t="s">
        <v>216</v>
      </c>
      <c r="I1" s="27" t="s">
        <v>217</v>
      </c>
      <c r="J1" s="27" t="s">
        <v>218</v>
      </c>
    </row>
    <row r="2" spans="1:10" ht="10.5">
      <c r="A2" s="67"/>
      <c r="B2" s="68"/>
      <c r="C2" s="68"/>
      <c r="D2" s="68"/>
      <c r="E2" s="68"/>
      <c r="F2" s="68"/>
      <c r="G2" s="68"/>
      <c r="H2" s="68"/>
      <c r="I2" s="68"/>
      <c r="J2" s="68"/>
    </row>
    <row r="3" spans="1:10" ht="10.5">
      <c r="A3" s="32"/>
      <c r="B3" s="69" t="s">
        <v>159</v>
      </c>
      <c r="C3" s="69"/>
      <c r="D3" s="69"/>
      <c r="E3" s="69"/>
      <c r="F3" s="69"/>
      <c r="G3" s="69"/>
      <c r="H3" s="69"/>
      <c r="I3" s="69"/>
      <c r="J3" s="69"/>
    </row>
    <row r="4" spans="1:10" ht="10.5">
      <c r="A4" s="32"/>
      <c r="B4" s="69" t="s">
        <v>160</v>
      </c>
      <c r="C4" s="69"/>
      <c r="D4" s="69"/>
      <c r="E4" s="69"/>
      <c r="F4" s="69"/>
      <c r="G4" s="69"/>
      <c r="H4" s="69"/>
      <c r="I4" s="69"/>
      <c r="J4" s="69"/>
    </row>
    <row r="5" spans="1:10" ht="10.5">
      <c r="A5" s="67"/>
      <c r="B5" s="68"/>
      <c r="C5" s="68"/>
      <c r="D5" s="68"/>
      <c r="E5" s="68"/>
      <c r="F5" s="68"/>
      <c r="G5" s="68"/>
      <c r="H5" s="68"/>
      <c r="I5" s="68"/>
      <c r="J5" s="68"/>
    </row>
    <row r="6" spans="1:10" ht="10.5">
      <c r="A6" s="31" t="str">
        <f>'Форма 4'!A26</f>
        <v>1.</v>
      </c>
      <c r="B6" s="30" t="s">
        <v>219</v>
      </c>
      <c r="C6" s="30" t="s">
        <v>219</v>
      </c>
      <c r="D6" s="30" t="s">
        <v>220</v>
      </c>
      <c r="E6" s="30" t="s">
        <v>220</v>
      </c>
      <c r="F6" s="30" t="s">
        <v>221</v>
      </c>
      <c r="G6" s="30" t="s">
        <v>220</v>
      </c>
      <c r="H6" s="30" t="s">
        <v>220</v>
      </c>
      <c r="I6" s="30" t="s">
        <v>222</v>
      </c>
      <c r="J6" s="30" t="s">
        <v>220</v>
      </c>
    </row>
    <row r="7" spans="1:10" ht="10.5">
      <c r="A7" s="31" t="str">
        <f>'Форма 4'!A45</f>
        <v>2.</v>
      </c>
      <c r="B7" s="30" t="s">
        <v>219</v>
      </c>
      <c r="C7" s="30" t="s">
        <v>219</v>
      </c>
      <c r="D7" s="30" t="s">
        <v>220</v>
      </c>
      <c r="E7" s="30" t="s">
        <v>220</v>
      </c>
      <c r="F7" s="30" t="s">
        <v>221</v>
      </c>
      <c r="G7" s="30" t="s">
        <v>220</v>
      </c>
      <c r="H7" s="30" t="s">
        <v>220</v>
      </c>
      <c r="I7" s="30" t="s">
        <v>222</v>
      </c>
      <c r="J7" s="30" t="s">
        <v>220</v>
      </c>
    </row>
    <row r="8" spans="1:10" ht="10.5">
      <c r="A8" s="31" t="str">
        <f>'Форма 4'!A63</f>
        <v>3.</v>
      </c>
      <c r="B8" s="30" t="s">
        <v>219</v>
      </c>
      <c r="C8" s="30" t="s">
        <v>219</v>
      </c>
      <c r="D8" s="30" t="s">
        <v>220</v>
      </c>
      <c r="E8" s="30" t="s">
        <v>220</v>
      </c>
      <c r="F8" s="30" t="s">
        <v>221</v>
      </c>
      <c r="G8" s="30" t="s">
        <v>220</v>
      </c>
      <c r="H8" s="30" t="s">
        <v>220</v>
      </c>
      <c r="I8" s="30" t="s">
        <v>222</v>
      </c>
      <c r="J8" s="30" t="s">
        <v>220</v>
      </c>
    </row>
    <row r="9" spans="1:10" ht="10.5">
      <c r="A9" s="31" t="str">
        <f>'Форма 4'!A82</f>
        <v>4.</v>
      </c>
      <c r="B9" s="30" t="s">
        <v>219</v>
      </c>
      <c r="C9" s="30" t="s">
        <v>219</v>
      </c>
      <c r="D9" s="30" t="s">
        <v>220</v>
      </c>
      <c r="E9" s="30" t="s">
        <v>220</v>
      </c>
      <c r="F9" s="30" t="s">
        <v>221</v>
      </c>
      <c r="G9" s="30" t="s">
        <v>220</v>
      </c>
      <c r="H9" s="30" t="s">
        <v>220</v>
      </c>
      <c r="I9" s="30" t="s">
        <v>222</v>
      </c>
      <c r="J9" s="30" t="s">
        <v>220</v>
      </c>
    </row>
    <row r="10" spans="1:10" ht="10.5">
      <c r="A10" s="31" t="str">
        <f>'Форма 4'!A101</f>
        <v>5.</v>
      </c>
      <c r="B10" s="30" t="s">
        <v>219</v>
      </c>
      <c r="C10" s="30" t="s">
        <v>219</v>
      </c>
      <c r="D10" s="30" t="s">
        <v>220</v>
      </c>
      <c r="E10" s="30" t="s">
        <v>220</v>
      </c>
      <c r="F10" s="30" t="s">
        <v>221</v>
      </c>
      <c r="G10" s="30" t="s">
        <v>219</v>
      </c>
      <c r="H10" s="30" t="s">
        <v>220</v>
      </c>
      <c r="I10" s="30" t="s">
        <v>222</v>
      </c>
      <c r="J10" s="30" t="s">
        <v>220</v>
      </c>
    </row>
    <row r="11" spans="1:10" ht="10.5">
      <c r="A11" s="31" t="str">
        <f>'Форма 4'!A120</f>
        <v>6.</v>
      </c>
      <c r="B11" s="30" t="s">
        <v>219</v>
      </c>
      <c r="C11" s="30" t="s">
        <v>219</v>
      </c>
      <c r="D11" s="30" t="s">
        <v>220</v>
      </c>
      <c r="E11" s="30" t="s">
        <v>220</v>
      </c>
      <c r="F11" s="30" t="s">
        <v>221</v>
      </c>
      <c r="G11" s="30" t="s">
        <v>220</v>
      </c>
      <c r="H11" s="30" t="s">
        <v>220</v>
      </c>
      <c r="I11" s="30" t="s">
        <v>222</v>
      </c>
      <c r="J11" s="30" t="s">
        <v>220</v>
      </c>
    </row>
    <row r="12" spans="1:10" ht="10.5">
      <c r="A12" s="31" t="str">
        <f>'Форма 4'!A139</f>
        <v>7.</v>
      </c>
      <c r="B12" s="30" t="s">
        <v>219</v>
      </c>
      <c r="C12" s="30" t="s">
        <v>219</v>
      </c>
      <c r="D12" s="30" t="s">
        <v>220</v>
      </c>
      <c r="E12" s="30" t="s">
        <v>220</v>
      </c>
      <c r="F12" s="30" t="s">
        <v>221</v>
      </c>
      <c r="G12" s="30" t="s">
        <v>220</v>
      </c>
      <c r="H12" s="30" t="s">
        <v>220</v>
      </c>
      <c r="I12" s="30" t="s">
        <v>222</v>
      </c>
      <c r="J12" s="30" t="s">
        <v>220</v>
      </c>
    </row>
    <row r="13" spans="1:10" ht="10.5">
      <c r="A13" s="31" t="str">
        <f>'Форма 4'!A157</f>
        <v>8.</v>
      </c>
      <c r="B13" s="30" t="s">
        <v>219</v>
      </c>
      <c r="C13" s="30" t="s">
        <v>219</v>
      </c>
      <c r="D13" s="30" t="s">
        <v>220</v>
      </c>
      <c r="E13" s="30" t="s">
        <v>220</v>
      </c>
      <c r="F13" s="30" t="s">
        <v>221</v>
      </c>
      <c r="G13" s="30" t="s">
        <v>219</v>
      </c>
      <c r="H13" s="30" t="s">
        <v>220</v>
      </c>
      <c r="I13" s="30" t="s">
        <v>222</v>
      </c>
      <c r="J13" s="30" t="s">
        <v>220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N8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6" customWidth="1"/>
    <col min="2" max="2" width="44.421875" style="7" customWidth="1"/>
    <col min="3" max="3" width="3.421875" style="30" customWidth="1"/>
    <col min="4" max="4" width="6.00390625" style="33" customWidth="1"/>
    <col min="5" max="5" width="6.00390625" style="7" customWidth="1"/>
    <col min="6" max="9" width="12.7109375" style="33" customWidth="1"/>
    <col min="10" max="11" width="18.7109375" style="33" customWidth="1"/>
    <col min="12" max="12" width="12.7109375" style="33" customWidth="1"/>
    <col min="13" max="13" width="9.140625" style="33" customWidth="1"/>
    <col min="14" max="14" width="3.421875" style="30" hidden="1" customWidth="1"/>
    <col min="15" max="16384" width="9.140625" style="33" customWidth="1"/>
  </cols>
  <sheetData>
    <row r="2" spans="1:14" ht="10.5">
      <c r="A2" s="64"/>
      <c r="B2" s="70"/>
      <c r="C2" s="70"/>
      <c r="D2" s="71"/>
      <c r="E2" s="70"/>
      <c r="F2" s="71"/>
      <c r="G2" s="71"/>
      <c r="H2" s="71"/>
      <c r="I2" s="71"/>
      <c r="J2" s="71"/>
      <c r="N2" s="33"/>
    </row>
    <row r="3" spans="1:14" ht="10.5">
      <c r="A3" s="28"/>
      <c r="B3" s="66" t="s">
        <v>159</v>
      </c>
      <c r="C3" s="66"/>
      <c r="D3" s="66"/>
      <c r="E3" s="66"/>
      <c r="F3" s="66"/>
      <c r="G3" s="66"/>
      <c r="H3" s="66"/>
      <c r="I3" s="66"/>
      <c r="J3" s="66"/>
      <c r="N3" s="33"/>
    </row>
    <row r="4" spans="1:14" ht="10.5">
      <c r="A4" s="28"/>
      <c r="B4" s="66" t="s">
        <v>160</v>
      </c>
      <c r="C4" s="66"/>
      <c r="D4" s="66"/>
      <c r="E4" s="66"/>
      <c r="F4" s="66"/>
      <c r="G4" s="66"/>
      <c r="H4" s="66"/>
      <c r="I4" s="66"/>
      <c r="J4" s="66"/>
      <c r="N4" s="33"/>
    </row>
    <row r="5" spans="1:14" ht="10.5">
      <c r="A5" s="64"/>
      <c r="B5" s="70"/>
      <c r="C5" s="70"/>
      <c r="D5" s="71"/>
      <c r="E5" s="70"/>
      <c r="F5" s="71"/>
      <c r="G5" s="71"/>
      <c r="H5" s="71"/>
      <c r="I5" s="71"/>
      <c r="J5" s="71"/>
      <c r="N5" s="33"/>
    </row>
    <row r="6" spans="1:13" s="27" customFormat="1" ht="10.5">
      <c r="A6" s="8"/>
      <c r="B6" s="27" t="s">
        <v>223</v>
      </c>
      <c r="C6" s="27" t="s">
        <v>224</v>
      </c>
      <c r="D6" s="34" t="s">
        <v>225</v>
      </c>
      <c r="E6" s="27" t="s">
        <v>226</v>
      </c>
      <c r="F6" s="27" t="s">
        <v>227</v>
      </c>
      <c r="G6" s="27" t="s">
        <v>228</v>
      </c>
      <c r="H6" s="27" t="s">
        <v>229</v>
      </c>
      <c r="I6" s="27" t="s">
        <v>230</v>
      </c>
      <c r="J6" s="27" t="s">
        <v>231</v>
      </c>
      <c r="K6" s="27" t="s">
        <v>232</v>
      </c>
      <c r="L6" s="27" t="s">
        <v>233</v>
      </c>
      <c r="M6" s="27" t="s">
        <v>234</v>
      </c>
    </row>
    <row r="7" spans="1:14" ht="10.5">
      <c r="A7" s="26">
        <v>1</v>
      </c>
      <c r="B7" s="7" t="s">
        <v>71</v>
      </c>
      <c r="C7" s="30" t="s">
        <v>235</v>
      </c>
      <c r="D7" s="33">
        <v>0</v>
      </c>
      <c r="E7" s="33"/>
      <c r="F7" s="25">
        <f>ROUND(SUM('Базовые цены с учетом расхода'!B6:B13),2)</f>
        <v>3067.7</v>
      </c>
      <c r="G7" s="25">
        <f>ROUND(SUM('Базовые цены с учетом расхода'!C6:C13),2)</f>
        <v>315.17</v>
      </c>
      <c r="H7" s="25">
        <f>ROUND(SUM('Базовые цены с учетом расхода'!D6:D13),2)</f>
        <v>220.46</v>
      </c>
      <c r="I7" s="25">
        <f>ROUND(SUM('Базовые цены с учетом расхода'!E6:E13),2)</f>
        <v>42.43</v>
      </c>
      <c r="J7" s="29">
        <f>ROUND(SUM('Базовые цены с учетом расхода'!I6:I13),8)</f>
        <v>29.24925</v>
      </c>
      <c r="K7" s="29">
        <f>ROUND(SUM('Базовые цены с учетом расхода'!K6:K13),8)</f>
        <v>3.14343</v>
      </c>
      <c r="L7" s="25">
        <f>ROUND(SUM('Базовые цены с учетом расхода'!F6:F13),2)</f>
        <v>2532.07</v>
      </c>
      <c r="N7" s="30" t="s">
        <v>219</v>
      </c>
    </row>
    <row r="8" spans="1:14" ht="10.5">
      <c r="A8" s="26">
        <v>2</v>
      </c>
      <c r="B8" s="7" t="s">
        <v>72</v>
      </c>
      <c r="C8" s="30" t="s">
        <v>236</v>
      </c>
      <c r="D8" s="33">
        <v>0</v>
      </c>
      <c r="F8" s="25">
        <f>ROUND(SUMIF(Определители!I6:I13,"= ",'Базовые цены с учетом расхода'!B6:B13),2)</f>
        <v>0</v>
      </c>
      <c r="G8" s="25">
        <f>ROUND(SUMIF(Определители!I6:I13,"= ",'Базовые цены с учетом расхода'!C6:C13),2)</f>
        <v>0</v>
      </c>
      <c r="H8" s="25">
        <f>ROUND(SUMIF(Определители!I6:I13,"= ",'Базовые цены с учетом расхода'!D6:D13),2)</f>
        <v>0</v>
      </c>
      <c r="I8" s="25">
        <f>ROUND(SUMIF(Определители!I6:I13,"= ",'Базовые цены с учетом расхода'!E6:E13),2)</f>
        <v>0</v>
      </c>
      <c r="J8" s="29">
        <f>ROUND(SUMIF(Определители!I6:I13,"= ",'Базовые цены с учетом расхода'!I6:I13),8)</f>
        <v>0</v>
      </c>
      <c r="K8" s="29">
        <f>ROUND(SUMIF(Определители!I6:I13,"= ",'Базовые цены с учетом расхода'!K6:K13),8)</f>
        <v>0</v>
      </c>
      <c r="L8" s="25">
        <f>ROUND(SUMIF(Определители!I6:I13,"= ",'Базовые цены с учетом расхода'!F6:F13),2)</f>
        <v>0</v>
      </c>
      <c r="N8" s="30" t="s">
        <v>222</v>
      </c>
    </row>
    <row r="9" spans="1:14" ht="10.5">
      <c r="A9" s="26">
        <v>3</v>
      </c>
      <c r="B9" s="7" t="s">
        <v>73</v>
      </c>
      <c r="C9" s="30" t="s">
        <v>236</v>
      </c>
      <c r="D9" s="33">
        <v>0</v>
      </c>
      <c r="F9" s="25">
        <f>ROUND(СУММПРОИЗВЕСЛИ(0.01,Определители!I6:I13," ",'Базовые цены с учетом расхода'!B6:B13,Начисления!X6:X13,0),2)</f>
        <v>0</v>
      </c>
      <c r="G9" s="25"/>
      <c r="H9" s="25"/>
      <c r="I9" s="25"/>
      <c r="J9" s="29"/>
      <c r="K9" s="29"/>
      <c r="L9" s="25"/>
      <c r="N9" s="30" t="s">
        <v>237</v>
      </c>
    </row>
    <row r="10" spans="1:14" ht="10.5">
      <c r="A10" s="26">
        <v>4</v>
      </c>
      <c r="B10" s="7" t="s">
        <v>74</v>
      </c>
      <c r="C10" s="30" t="s">
        <v>236</v>
      </c>
      <c r="D10" s="33">
        <v>0</v>
      </c>
      <c r="F10" s="25">
        <f>ROUND(СУММПРОИЗВЕСЛИ(0.01,Определители!I6:I13," ",'Базовые цены с учетом расхода'!B6:B13,Начисления!Y6:Y13,0),2)</f>
        <v>0</v>
      </c>
      <c r="G10" s="25"/>
      <c r="H10" s="25"/>
      <c r="I10" s="25"/>
      <c r="J10" s="29"/>
      <c r="K10" s="29"/>
      <c r="L10" s="25"/>
      <c r="N10" s="30" t="s">
        <v>238</v>
      </c>
    </row>
    <row r="11" spans="1:14" ht="10.5">
      <c r="A11" s="26">
        <v>5</v>
      </c>
      <c r="B11" s="7" t="s">
        <v>75</v>
      </c>
      <c r="C11" s="30" t="s">
        <v>236</v>
      </c>
      <c r="D11" s="33">
        <v>0</v>
      </c>
      <c r="F11" s="25">
        <f>ROUND(ТРАНСПРАСХОД(Определители!B6:B13,Определители!H6:H13,Определители!I6:I13,'Базовые цены с учетом расхода'!B6:B13,Начисления!Z6:Z13,Начисления!AA6:AA13),2)</f>
        <v>0</v>
      </c>
      <c r="G11" s="25"/>
      <c r="H11" s="25"/>
      <c r="I11" s="25"/>
      <c r="J11" s="29"/>
      <c r="K11" s="29"/>
      <c r="L11" s="25"/>
      <c r="N11" s="30" t="s">
        <v>239</v>
      </c>
    </row>
    <row r="12" spans="1:14" ht="10.5">
      <c r="A12" s="26">
        <v>6</v>
      </c>
      <c r="B12" s="7" t="s">
        <v>76</v>
      </c>
      <c r="C12" s="30" t="s">
        <v>236</v>
      </c>
      <c r="D12" s="33">
        <v>0</v>
      </c>
      <c r="F12" s="25">
        <f>ROUND(СУММПРОИЗВЕСЛИ(0.01,Определители!I6:I13," ",'Базовые цены с учетом расхода'!B6:B13,Начисления!AC6:AC13,0),2)</f>
        <v>0</v>
      </c>
      <c r="G12" s="25"/>
      <c r="H12" s="25"/>
      <c r="I12" s="25"/>
      <c r="J12" s="29"/>
      <c r="K12" s="29"/>
      <c r="L12" s="25"/>
      <c r="N12" s="30" t="s">
        <v>240</v>
      </c>
    </row>
    <row r="13" spans="1:14" ht="10.5">
      <c r="A13" s="26">
        <v>7</v>
      </c>
      <c r="B13" s="7" t="s">
        <v>77</v>
      </c>
      <c r="C13" s="30" t="s">
        <v>236</v>
      </c>
      <c r="D13" s="33">
        <v>0</v>
      </c>
      <c r="F13" s="25">
        <f>ROUND(СУММПРОИЗВЕСЛИ(0.01,Определители!I6:I13," ",'Базовые цены с учетом расхода'!B6:B13,Начисления!AF6:AF13,0),2)</f>
        <v>0</v>
      </c>
      <c r="G13" s="25"/>
      <c r="H13" s="25"/>
      <c r="I13" s="25"/>
      <c r="J13" s="29"/>
      <c r="K13" s="29"/>
      <c r="L13" s="25"/>
      <c r="N13" s="30" t="s">
        <v>241</v>
      </c>
    </row>
    <row r="14" spans="1:14" ht="10.5">
      <c r="A14" s="26">
        <v>8</v>
      </c>
      <c r="B14" s="7" t="s">
        <v>78</v>
      </c>
      <c r="C14" s="30" t="s">
        <v>236</v>
      </c>
      <c r="D14" s="33">
        <v>0</v>
      </c>
      <c r="F14" s="25">
        <f>ROUND(ЗАГОТСКЛАДРАСХОД(Определители!B6:B13,Определители!H6:H13,Определители!I6:I13,'Базовые цены с учетом расхода'!B6:B13,Начисления!X6:X13,Начисления!Y6:Y13,Начисления!Z6:Z13,Начисления!AA6:AA13,Начисления!AB6:AB13,Начисления!AC6:AC13,Начисления!AF6:AF13),2)</f>
        <v>0</v>
      </c>
      <c r="G14" s="25"/>
      <c r="H14" s="25"/>
      <c r="I14" s="25"/>
      <c r="J14" s="29"/>
      <c r="K14" s="29"/>
      <c r="L14" s="25"/>
      <c r="N14" s="30" t="s">
        <v>242</v>
      </c>
    </row>
    <row r="15" spans="1:14" ht="10.5">
      <c r="A15" s="26">
        <v>9</v>
      </c>
      <c r="B15" s="7" t="s">
        <v>79</v>
      </c>
      <c r="C15" s="30" t="s">
        <v>236</v>
      </c>
      <c r="D15" s="33">
        <v>0</v>
      </c>
      <c r="F15" s="25">
        <f>ROUND(СУММПРОИЗВЕСЛИ(1,Определители!I6:I13," ",'Базовые цены с учетом расхода'!M6:M13,Начисления!I6:I13,0),2)</f>
        <v>0</v>
      </c>
      <c r="G15" s="25"/>
      <c r="H15" s="25"/>
      <c r="I15" s="25"/>
      <c r="J15" s="29"/>
      <c r="K15" s="29"/>
      <c r="L15" s="25"/>
      <c r="N15" s="30" t="s">
        <v>243</v>
      </c>
    </row>
    <row r="16" spans="1:14" ht="10.5">
      <c r="A16" s="26">
        <v>10</v>
      </c>
      <c r="B16" s="7" t="s">
        <v>80</v>
      </c>
      <c r="C16" s="30" t="s">
        <v>244</v>
      </c>
      <c r="D16" s="33">
        <v>0</v>
      </c>
      <c r="F16" s="25">
        <f>ROUND((F15+F26+F46),2)</f>
        <v>0</v>
      </c>
      <c r="G16" s="25"/>
      <c r="H16" s="25"/>
      <c r="I16" s="25"/>
      <c r="J16" s="29"/>
      <c r="K16" s="29"/>
      <c r="L16" s="25"/>
      <c r="N16" s="30" t="s">
        <v>245</v>
      </c>
    </row>
    <row r="17" spans="1:14" ht="10.5">
      <c r="A17" s="26">
        <v>11</v>
      </c>
      <c r="B17" s="7" t="s">
        <v>81</v>
      </c>
      <c r="C17" s="30" t="s">
        <v>244</v>
      </c>
      <c r="D17" s="33">
        <v>0</v>
      </c>
      <c r="F17" s="25">
        <f>ROUND((F8+F9+F10+F11+F12+F13+F14+F16),2)</f>
        <v>0</v>
      </c>
      <c r="G17" s="25"/>
      <c r="H17" s="25"/>
      <c r="I17" s="25"/>
      <c r="J17" s="29"/>
      <c r="K17" s="29"/>
      <c r="L17" s="25"/>
      <c r="N17" s="30" t="s">
        <v>246</v>
      </c>
    </row>
    <row r="18" spans="1:14" ht="10.5">
      <c r="A18" s="26">
        <v>12</v>
      </c>
      <c r="B18" s="7" t="s">
        <v>82</v>
      </c>
      <c r="C18" s="30" t="s">
        <v>236</v>
      </c>
      <c r="D18" s="33">
        <v>0</v>
      </c>
      <c r="F18" s="25">
        <f>ROUND(SUMIF(Определители!I6:I13,"=1",'Базовые цены с учетом расхода'!B6:B13),2)</f>
        <v>0</v>
      </c>
      <c r="G18" s="25">
        <f>ROUND(SUMIF(Определители!I6:I13,"=1",'Базовые цены с учетом расхода'!C6:C13),2)</f>
        <v>0</v>
      </c>
      <c r="H18" s="25">
        <f>ROUND(SUMIF(Определители!I6:I13,"=1",'Базовые цены с учетом расхода'!D6:D13),2)</f>
        <v>0</v>
      </c>
      <c r="I18" s="25">
        <f>ROUND(SUMIF(Определители!I6:I13,"=1",'Базовые цены с учетом расхода'!E6:E13),2)</f>
        <v>0</v>
      </c>
      <c r="J18" s="29">
        <f>ROUND(SUMIF(Определители!I6:I13,"=1",'Базовые цены с учетом расхода'!I6:I13),8)</f>
        <v>0</v>
      </c>
      <c r="K18" s="29">
        <f>ROUND(SUMIF(Определители!I6:I13,"=1",'Базовые цены с учетом расхода'!K6:K13),8)</f>
        <v>0</v>
      </c>
      <c r="L18" s="25">
        <f>ROUND(SUMIF(Определители!I6:I13,"=1",'Базовые цены с учетом расхода'!F6:F13),2)</f>
        <v>0</v>
      </c>
      <c r="N18" s="30" t="s">
        <v>247</v>
      </c>
    </row>
    <row r="19" spans="1:14" ht="10.5">
      <c r="A19" s="26">
        <v>13</v>
      </c>
      <c r="B19" s="7" t="s">
        <v>83</v>
      </c>
      <c r="C19" s="30" t="s">
        <v>236</v>
      </c>
      <c r="D19" s="33">
        <v>0</v>
      </c>
      <c r="F19" s="25"/>
      <c r="G19" s="25"/>
      <c r="H19" s="25"/>
      <c r="I19" s="25"/>
      <c r="J19" s="29"/>
      <c r="K19" s="29"/>
      <c r="L19" s="25"/>
      <c r="N19" s="30" t="s">
        <v>248</v>
      </c>
    </row>
    <row r="20" spans="1:14" ht="10.5">
      <c r="A20" s="26">
        <v>14</v>
      </c>
      <c r="B20" s="7" t="s">
        <v>84</v>
      </c>
      <c r="C20" s="30" t="s">
        <v>236</v>
      </c>
      <c r="D20" s="33">
        <v>0</v>
      </c>
      <c r="F20" s="25"/>
      <c r="G20" s="25">
        <f>ROUND(SUMIF(Определители!I6:I13,"=1",'Базовые цены с учетом расхода'!U6:U13),2)</f>
        <v>0</v>
      </c>
      <c r="H20" s="25"/>
      <c r="I20" s="25"/>
      <c r="J20" s="29"/>
      <c r="K20" s="29"/>
      <c r="L20" s="25"/>
      <c r="N20" s="30" t="s">
        <v>249</v>
      </c>
    </row>
    <row r="21" spans="1:14" ht="10.5">
      <c r="A21" s="26">
        <v>15</v>
      </c>
      <c r="B21" s="7" t="s">
        <v>85</v>
      </c>
      <c r="C21" s="30" t="s">
        <v>236</v>
      </c>
      <c r="D21" s="33">
        <v>0</v>
      </c>
      <c r="F21" s="25">
        <f>ROUND(SUMIF(Определители!I6:I13,"=1",'Базовые цены с учетом расхода'!V6:V13),2)</f>
        <v>0</v>
      </c>
      <c r="G21" s="25"/>
      <c r="H21" s="25"/>
      <c r="I21" s="25"/>
      <c r="J21" s="29"/>
      <c r="K21" s="29"/>
      <c r="L21" s="25"/>
      <c r="N21" s="30" t="s">
        <v>250</v>
      </c>
    </row>
    <row r="22" spans="1:14" ht="10.5">
      <c r="A22" s="26">
        <v>16</v>
      </c>
      <c r="B22" s="7" t="s">
        <v>86</v>
      </c>
      <c r="C22" s="30" t="s">
        <v>236</v>
      </c>
      <c r="D22" s="33">
        <v>0</v>
      </c>
      <c r="F22" s="25">
        <f>ROUND(СУММЕСЛИ2(Определители!I6:I13,"1",Определители!G6:G13,"1",'Базовые цены с учетом расхода'!B6:B13),2)</f>
        <v>0</v>
      </c>
      <c r="G22" s="25"/>
      <c r="H22" s="25"/>
      <c r="I22" s="25"/>
      <c r="J22" s="29"/>
      <c r="K22" s="29"/>
      <c r="L22" s="25"/>
      <c r="N22" s="30" t="s">
        <v>251</v>
      </c>
    </row>
    <row r="23" spans="1:14" ht="10.5">
      <c r="A23" s="26">
        <v>17</v>
      </c>
      <c r="B23" s="7" t="s">
        <v>87</v>
      </c>
      <c r="C23" s="30" t="s">
        <v>236</v>
      </c>
      <c r="D23" s="33">
        <v>0</v>
      </c>
      <c r="F23" s="25">
        <f>ROUND(SUMIF(Определители!I6:I13,"=1",'Базовые цены с учетом расхода'!H6:H13),2)</f>
        <v>0</v>
      </c>
      <c r="G23" s="25"/>
      <c r="H23" s="25"/>
      <c r="I23" s="25"/>
      <c r="J23" s="29"/>
      <c r="K23" s="29"/>
      <c r="L23" s="25"/>
      <c r="N23" s="30" t="s">
        <v>252</v>
      </c>
    </row>
    <row r="24" spans="1:14" ht="10.5">
      <c r="A24" s="26">
        <v>18</v>
      </c>
      <c r="B24" s="7" t="s">
        <v>88</v>
      </c>
      <c r="C24" s="30" t="s">
        <v>236</v>
      </c>
      <c r="D24" s="33">
        <v>0</v>
      </c>
      <c r="F24" s="25">
        <f>ROUND(SUMIF(Определители!I6:I13,"=1",'Базовые цены с учетом расхода'!N6:N13),2)</f>
        <v>0</v>
      </c>
      <c r="G24" s="25"/>
      <c r="H24" s="25"/>
      <c r="I24" s="25"/>
      <c r="J24" s="29"/>
      <c r="K24" s="29"/>
      <c r="L24" s="25"/>
      <c r="N24" s="30" t="s">
        <v>253</v>
      </c>
    </row>
    <row r="25" spans="1:14" ht="10.5">
      <c r="A25" s="26">
        <v>19</v>
      </c>
      <c r="B25" s="7" t="s">
        <v>89</v>
      </c>
      <c r="C25" s="30" t="s">
        <v>236</v>
      </c>
      <c r="D25" s="33">
        <v>0</v>
      </c>
      <c r="F25" s="25">
        <f>ROUND(SUMIF(Определители!I6:I13,"=1",'Базовые цены с учетом расхода'!O6:O13),2)</f>
        <v>0</v>
      </c>
      <c r="G25" s="25"/>
      <c r="H25" s="25"/>
      <c r="I25" s="25"/>
      <c r="J25" s="29"/>
      <c r="K25" s="29"/>
      <c r="L25" s="25"/>
      <c r="N25" s="30" t="s">
        <v>254</v>
      </c>
    </row>
    <row r="26" spans="1:14" ht="10.5">
      <c r="A26" s="26">
        <v>20</v>
      </c>
      <c r="B26" s="7" t="s">
        <v>80</v>
      </c>
      <c r="C26" s="30" t="s">
        <v>236</v>
      </c>
      <c r="D26" s="33">
        <v>0</v>
      </c>
      <c r="F26" s="25">
        <f>ROUND(СУММПРОИЗВЕСЛИ(1,Определители!I6:I13," ",'Базовые цены с учетом расхода'!M6:M13,Начисления!I6:I13,0),2)</f>
        <v>0</v>
      </c>
      <c r="G26" s="25"/>
      <c r="H26" s="25"/>
      <c r="I26" s="25"/>
      <c r="J26" s="29"/>
      <c r="K26" s="29"/>
      <c r="L26" s="25"/>
      <c r="N26" s="30" t="s">
        <v>255</v>
      </c>
    </row>
    <row r="27" spans="1:14" ht="10.5">
      <c r="A27" s="26">
        <v>21</v>
      </c>
      <c r="B27" s="7" t="s">
        <v>90</v>
      </c>
      <c r="C27" s="30" t="s">
        <v>244</v>
      </c>
      <c r="D27" s="33">
        <v>0</v>
      </c>
      <c r="F27" s="25">
        <f>ROUND((F18+F24+F25),2)</f>
        <v>0</v>
      </c>
      <c r="G27" s="25"/>
      <c r="H27" s="25"/>
      <c r="I27" s="25"/>
      <c r="J27" s="29"/>
      <c r="K27" s="29"/>
      <c r="L27" s="25"/>
      <c r="N27" s="30" t="s">
        <v>256</v>
      </c>
    </row>
    <row r="28" spans="1:14" ht="10.5">
      <c r="A28" s="26">
        <v>22</v>
      </c>
      <c r="B28" s="7" t="s">
        <v>91</v>
      </c>
      <c r="C28" s="30" t="s">
        <v>236</v>
      </c>
      <c r="D28" s="33">
        <v>0</v>
      </c>
      <c r="F28" s="25">
        <f>ROUND(SUMIF(Определители!I6:I13,"=2",'Базовые цены с учетом расхода'!B6:B13),2)</f>
        <v>3067.7</v>
      </c>
      <c r="G28" s="25">
        <f>ROUND(SUMIF(Определители!I6:I13,"=2",'Базовые цены с учетом расхода'!C6:C13),2)</f>
        <v>315.17</v>
      </c>
      <c r="H28" s="25">
        <f>ROUND(SUMIF(Определители!I6:I13,"=2",'Базовые цены с учетом расхода'!D6:D13),2)</f>
        <v>220.46</v>
      </c>
      <c r="I28" s="25">
        <f>ROUND(SUMIF(Определители!I6:I13,"=2",'Базовые цены с учетом расхода'!E6:E13),2)</f>
        <v>42.43</v>
      </c>
      <c r="J28" s="29">
        <f>ROUND(SUMIF(Определители!I6:I13,"=2",'Базовые цены с учетом расхода'!I6:I13),8)</f>
        <v>29.24925</v>
      </c>
      <c r="K28" s="29">
        <f>ROUND(SUMIF(Определители!I6:I13,"=2",'Базовые цены с учетом расхода'!K6:K13),8)</f>
        <v>3.14343</v>
      </c>
      <c r="L28" s="25">
        <f>ROUND(SUMIF(Определители!I6:I13,"=2",'Базовые цены с учетом расхода'!F6:F13),2)</f>
        <v>2532.07</v>
      </c>
      <c r="N28" s="30" t="s">
        <v>257</v>
      </c>
    </row>
    <row r="29" spans="1:14" ht="10.5">
      <c r="A29" s="26">
        <v>23</v>
      </c>
      <c r="B29" s="7" t="s">
        <v>83</v>
      </c>
      <c r="C29" s="30" t="s">
        <v>236</v>
      </c>
      <c r="D29" s="33">
        <v>0</v>
      </c>
      <c r="F29" s="25"/>
      <c r="G29" s="25"/>
      <c r="H29" s="25"/>
      <c r="I29" s="25"/>
      <c r="J29" s="29"/>
      <c r="K29" s="29"/>
      <c r="L29" s="25"/>
      <c r="N29" s="30" t="s">
        <v>258</v>
      </c>
    </row>
    <row r="30" spans="1:14" ht="10.5">
      <c r="A30" s="26">
        <v>24</v>
      </c>
      <c r="B30" s="7" t="s">
        <v>92</v>
      </c>
      <c r="C30" s="30" t="s">
        <v>236</v>
      </c>
      <c r="D30" s="33">
        <v>0</v>
      </c>
      <c r="F30" s="25">
        <f>ROUND(СУММЕСЛИ2(Определители!I6:I13,"2",Определители!G6:G13,"1",'Базовые цены с учетом расхода'!B6:B13),2)</f>
        <v>2326.86</v>
      </c>
      <c r="G30" s="25"/>
      <c r="H30" s="25"/>
      <c r="I30" s="25"/>
      <c r="J30" s="29"/>
      <c r="K30" s="29"/>
      <c r="L30" s="25"/>
      <c r="N30" s="30" t="s">
        <v>259</v>
      </c>
    </row>
    <row r="31" spans="1:14" ht="10.5">
      <c r="A31" s="26">
        <v>25</v>
      </c>
      <c r="B31" s="7" t="s">
        <v>87</v>
      </c>
      <c r="C31" s="30" t="s">
        <v>236</v>
      </c>
      <c r="D31" s="33">
        <v>0</v>
      </c>
      <c r="F31" s="25">
        <f>ROUND(SUMIF(Определители!I6:I13,"=2",'Базовые цены с учетом расхода'!H6:H13),2)</f>
        <v>0</v>
      </c>
      <c r="G31" s="25"/>
      <c r="H31" s="25"/>
      <c r="I31" s="25"/>
      <c r="J31" s="29"/>
      <c r="K31" s="29"/>
      <c r="L31" s="25"/>
      <c r="N31" s="30" t="s">
        <v>260</v>
      </c>
    </row>
    <row r="32" spans="1:14" ht="10.5">
      <c r="A32" s="26">
        <v>26</v>
      </c>
      <c r="B32" s="7" t="s">
        <v>88</v>
      </c>
      <c r="C32" s="30" t="s">
        <v>236</v>
      </c>
      <c r="D32" s="33">
        <v>0</v>
      </c>
      <c r="F32" s="25">
        <f>ROUND(SUMIF(Определители!I6:I13,"=2",'Базовые цены с учетом расхода'!N6:N13),2)</f>
        <v>367.02</v>
      </c>
      <c r="G32" s="25"/>
      <c r="H32" s="25"/>
      <c r="I32" s="25"/>
      <c r="J32" s="29"/>
      <c r="K32" s="29"/>
      <c r="L32" s="25"/>
      <c r="N32" s="30" t="s">
        <v>261</v>
      </c>
    </row>
    <row r="33" spans="1:14" ht="10.5">
      <c r="A33" s="26">
        <v>27</v>
      </c>
      <c r="B33" s="7" t="s">
        <v>89</v>
      </c>
      <c r="C33" s="30" t="s">
        <v>236</v>
      </c>
      <c r="D33" s="33">
        <v>0</v>
      </c>
      <c r="F33" s="25">
        <f>ROUND(SUMIF(Определители!I6:I13,"=2",'Базовые цены с учетом расхода'!O6:O13),2)</f>
        <v>192.83</v>
      </c>
      <c r="G33" s="25"/>
      <c r="H33" s="25"/>
      <c r="I33" s="25"/>
      <c r="J33" s="29"/>
      <c r="K33" s="29"/>
      <c r="L33" s="25"/>
      <c r="N33" s="30" t="s">
        <v>262</v>
      </c>
    </row>
    <row r="34" spans="1:14" ht="10.5">
      <c r="A34" s="26">
        <v>28</v>
      </c>
      <c r="B34" s="7" t="s">
        <v>95</v>
      </c>
      <c r="C34" s="30" t="s">
        <v>244</v>
      </c>
      <c r="D34" s="33">
        <v>0</v>
      </c>
      <c r="F34" s="25">
        <f>ROUND((F28+F32+F33),2)</f>
        <v>3627.55</v>
      </c>
      <c r="G34" s="25"/>
      <c r="H34" s="25"/>
      <c r="I34" s="25"/>
      <c r="J34" s="29"/>
      <c r="K34" s="29"/>
      <c r="L34" s="25"/>
      <c r="N34" s="30" t="s">
        <v>263</v>
      </c>
    </row>
    <row r="35" spans="1:14" ht="10.5">
      <c r="A35" s="26">
        <v>29</v>
      </c>
      <c r="B35" s="7" t="s">
        <v>96</v>
      </c>
      <c r="C35" s="30" t="s">
        <v>236</v>
      </c>
      <c r="D35" s="33">
        <v>0</v>
      </c>
      <c r="F35" s="25">
        <f>ROUND(SUMIF(Определители!I6:I13,"=3",'Базовые цены с учетом расхода'!B6:B13),2)</f>
        <v>0</v>
      </c>
      <c r="G35" s="25">
        <f>ROUND(SUMIF(Определители!I6:I13,"=3",'Базовые цены с учетом расхода'!C6:C13),2)</f>
        <v>0</v>
      </c>
      <c r="H35" s="25">
        <f>ROUND(SUMIF(Определители!I6:I13,"=3",'Базовые цены с учетом расхода'!D6:D13),2)</f>
        <v>0</v>
      </c>
      <c r="I35" s="25">
        <f>ROUND(SUMIF(Определители!I6:I13,"=3",'Базовые цены с учетом расхода'!E6:E13),2)</f>
        <v>0</v>
      </c>
      <c r="J35" s="29">
        <f>ROUND(SUMIF(Определители!I6:I13,"=3",'Базовые цены с учетом расхода'!I6:I13),8)</f>
        <v>0</v>
      </c>
      <c r="K35" s="29">
        <f>ROUND(SUMIF(Определители!I6:I13,"=3",'Базовые цены с учетом расхода'!K6:K13),8)</f>
        <v>0</v>
      </c>
      <c r="L35" s="25">
        <f>ROUND(SUMIF(Определители!I6:I13,"=3",'Базовые цены с учетом расхода'!F6:F13),2)</f>
        <v>0</v>
      </c>
      <c r="N35" s="30" t="s">
        <v>264</v>
      </c>
    </row>
    <row r="36" spans="1:14" ht="10.5">
      <c r="A36" s="26">
        <v>30</v>
      </c>
      <c r="B36" s="7" t="s">
        <v>87</v>
      </c>
      <c r="C36" s="30" t="s">
        <v>236</v>
      </c>
      <c r="D36" s="33">
        <v>0</v>
      </c>
      <c r="F36" s="25">
        <f>ROUND(SUMIF(Определители!I6:I13,"=3",'Базовые цены с учетом расхода'!H6:H13),2)</f>
        <v>0</v>
      </c>
      <c r="G36" s="25"/>
      <c r="H36" s="25"/>
      <c r="I36" s="25"/>
      <c r="J36" s="29"/>
      <c r="K36" s="29"/>
      <c r="L36" s="25"/>
      <c r="N36" s="30" t="s">
        <v>265</v>
      </c>
    </row>
    <row r="37" spans="1:14" ht="10.5">
      <c r="A37" s="26">
        <v>31</v>
      </c>
      <c r="B37" s="7" t="s">
        <v>88</v>
      </c>
      <c r="C37" s="30" t="s">
        <v>236</v>
      </c>
      <c r="D37" s="33">
        <v>0</v>
      </c>
      <c r="F37" s="25">
        <f>ROUND(SUMIF(Определители!I6:I13,"=3",'Базовые цены с учетом расхода'!N6:N13),2)</f>
        <v>0</v>
      </c>
      <c r="G37" s="25"/>
      <c r="H37" s="25"/>
      <c r="I37" s="25"/>
      <c r="J37" s="29"/>
      <c r="K37" s="29"/>
      <c r="L37" s="25"/>
      <c r="N37" s="30" t="s">
        <v>266</v>
      </c>
    </row>
    <row r="38" spans="1:14" ht="10.5">
      <c r="A38" s="26">
        <v>32</v>
      </c>
      <c r="B38" s="7" t="s">
        <v>89</v>
      </c>
      <c r="C38" s="30" t="s">
        <v>236</v>
      </c>
      <c r="D38" s="33">
        <v>0</v>
      </c>
      <c r="F38" s="25">
        <f>ROUND(SUMIF(Определители!I6:I13,"=3",'Базовые цены с учетом расхода'!O6:O13),2)</f>
        <v>0</v>
      </c>
      <c r="G38" s="25"/>
      <c r="H38" s="25"/>
      <c r="I38" s="25"/>
      <c r="J38" s="29"/>
      <c r="K38" s="29"/>
      <c r="L38" s="25"/>
      <c r="N38" s="30" t="s">
        <v>267</v>
      </c>
    </row>
    <row r="39" spans="1:14" ht="10.5">
      <c r="A39" s="26">
        <v>33</v>
      </c>
      <c r="B39" s="7" t="s">
        <v>97</v>
      </c>
      <c r="C39" s="30" t="s">
        <v>244</v>
      </c>
      <c r="D39" s="33">
        <v>0</v>
      </c>
      <c r="F39" s="25">
        <f>ROUND((F35+F37+F38),2)</f>
        <v>0</v>
      </c>
      <c r="G39" s="25"/>
      <c r="H39" s="25"/>
      <c r="I39" s="25"/>
      <c r="J39" s="29"/>
      <c r="K39" s="29"/>
      <c r="L39" s="25"/>
      <c r="N39" s="30" t="s">
        <v>268</v>
      </c>
    </row>
    <row r="40" spans="1:14" ht="10.5">
      <c r="A40" s="26">
        <v>34</v>
      </c>
      <c r="B40" s="7" t="s">
        <v>98</v>
      </c>
      <c r="C40" s="30" t="s">
        <v>236</v>
      </c>
      <c r="D40" s="33">
        <v>0</v>
      </c>
      <c r="F40" s="25">
        <f>ROUND(SUMIF(Определители!I6:I13,"=4",'Базовые цены с учетом расхода'!B6:B13),2)</f>
        <v>0</v>
      </c>
      <c r="G40" s="25">
        <f>ROUND(SUMIF(Определители!I6:I13,"=4",'Базовые цены с учетом расхода'!C6:C13),2)</f>
        <v>0</v>
      </c>
      <c r="H40" s="25">
        <f>ROUND(SUMIF(Определители!I6:I13,"=4",'Базовые цены с учетом расхода'!D6:D13),2)</f>
        <v>0</v>
      </c>
      <c r="I40" s="25">
        <f>ROUND(SUMIF(Определители!I6:I13,"=4",'Базовые цены с учетом расхода'!E6:E13),2)</f>
        <v>0</v>
      </c>
      <c r="J40" s="29">
        <f>ROUND(SUMIF(Определители!I6:I13,"=4",'Базовые цены с учетом расхода'!I6:I13),8)</f>
        <v>0</v>
      </c>
      <c r="K40" s="29">
        <f>ROUND(SUMIF(Определители!I6:I13,"=4",'Базовые цены с учетом расхода'!K6:K13),8)</f>
        <v>0</v>
      </c>
      <c r="L40" s="25">
        <f>ROUND(SUMIF(Определители!I6:I13,"=4",'Базовые цены с учетом расхода'!F6:F13),2)</f>
        <v>0</v>
      </c>
      <c r="N40" s="30" t="s">
        <v>269</v>
      </c>
    </row>
    <row r="41" spans="1:14" ht="10.5">
      <c r="A41" s="26">
        <v>35</v>
      </c>
      <c r="B41" s="7" t="s">
        <v>83</v>
      </c>
      <c r="C41" s="30" t="s">
        <v>236</v>
      </c>
      <c r="D41" s="33">
        <v>0</v>
      </c>
      <c r="F41" s="25"/>
      <c r="G41" s="25"/>
      <c r="H41" s="25"/>
      <c r="I41" s="25"/>
      <c r="J41" s="29"/>
      <c r="K41" s="29"/>
      <c r="L41" s="25"/>
      <c r="N41" s="30" t="s">
        <v>270</v>
      </c>
    </row>
    <row r="42" spans="1:14" ht="10.5">
      <c r="A42" s="26">
        <v>36</v>
      </c>
      <c r="B42" s="7" t="s">
        <v>99</v>
      </c>
      <c r="C42" s="30" t="s">
        <v>236</v>
      </c>
      <c r="D42" s="33">
        <v>0</v>
      </c>
      <c r="F42" s="25"/>
      <c r="G42" s="25"/>
      <c r="H42" s="25"/>
      <c r="I42" s="25"/>
      <c r="J42" s="29"/>
      <c r="K42" s="29"/>
      <c r="L42" s="25"/>
      <c r="N42" s="30" t="s">
        <v>271</v>
      </c>
    </row>
    <row r="43" spans="1:14" ht="10.5">
      <c r="A43" s="26">
        <v>37</v>
      </c>
      <c r="B43" s="7" t="s">
        <v>87</v>
      </c>
      <c r="C43" s="30" t="s">
        <v>236</v>
      </c>
      <c r="D43" s="33">
        <v>0</v>
      </c>
      <c r="F43" s="25">
        <f>ROUND(SUMIF(Определители!I6:I13,"=4",'Базовые цены с учетом расхода'!H6:H13),2)</f>
        <v>0</v>
      </c>
      <c r="G43" s="25"/>
      <c r="H43" s="25"/>
      <c r="I43" s="25"/>
      <c r="J43" s="29"/>
      <c r="K43" s="29"/>
      <c r="L43" s="25"/>
      <c r="N43" s="30" t="s">
        <v>272</v>
      </c>
    </row>
    <row r="44" spans="1:14" ht="10.5">
      <c r="A44" s="26">
        <v>38</v>
      </c>
      <c r="B44" s="7" t="s">
        <v>88</v>
      </c>
      <c r="C44" s="30" t="s">
        <v>236</v>
      </c>
      <c r="D44" s="33">
        <v>0</v>
      </c>
      <c r="F44" s="25">
        <f>ROUND(SUMIF(Определители!I6:I13,"=4",'Базовые цены с учетом расхода'!N6:N13),2)</f>
        <v>0</v>
      </c>
      <c r="G44" s="25"/>
      <c r="H44" s="25"/>
      <c r="I44" s="25"/>
      <c r="J44" s="29"/>
      <c r="K44" s="29"/>
      <c r="L44" s="25"/>
      <c r="N44" s="30" t="s">
        <v>273</v>
      </c>
    </row>
    <row r="45" spans="1:14" ht="10.5">
      <c r="A45" s="26">
        <v>39</v>
      </c>
      <c r="B45" s="7" t="s">
        <v>89</v>
      </c>
      <c r="C45" s="30" t="s">
        <v>236</v>
      </c>
      <c r="D45" s="33">
        <v>0</v>
      </c>
      <c r="F45" s="25">
        <f>ROUND(SUMIF(Определители!I6:I13,"=4",'Базовые цены с учетом расхода'!O6:O13),2)</f>
        <v>0</v>
      </c>
      <c r="G45" s="25"/>
      <c r="H45" s="25"/>
      <c r="I45" s="25"/>
      <c r="J45" s="29"/>
      <c r="K45" s="29"/>
      <c r="L45" s="25"/>
      <c r="N45" s="30" t="s">
        <v>274</v>
      </c>
    </row>
    <row r="46" spans="1:14" ht="10.5">
      <c r="A46" s="26">
        <v>40</v>
      </c>
      <c r="B46" s="7" t="s">
        <v>80</v>
      </c>
      <c r="C46" s="30" t="s">
        <v>236</v>
      </c>
      <c r="D46" s="33">
        <v>0</v>
      </c>
      <c r="F46" s="25">
        <f>ROUND(СУММПРОИЗВЕСЛИ(1,Определители!I6:I13," ",'Базовые цены с учетом расхода'!M6:M13,Начисления!I6:I13,0),2)</f>
        <v>0</v>
      </c>
      <c r="G46" s="25"/>
      <c r="H46" s="25"/>
      <c r="I46" s="25"/>
      <c r="J46" s="29"/>
      <c r="K46" s="29"/>
      <c r="L46" s="25"/>
      <c r="N46" s="30" t="s">
        <v>275</v>
      </c>
    </row>
    <row r="47" spans="1:14" ht="10.5">
      <c r="A47" s="26">
        <v>41</v>
      </c>
      <c r="B47" s="7" t="s">
        <v>100</v>
      </c>
      <c r="C47" s="30" t="s">
        <v>244</v>
      </c>
      <c r="D47" s="33">
        <v>0</v>
      </c>
      <c r="F47" s="25">
        <f>ROUND((F40+F44+F45),2)</f>
        <v>0</v>
      </c>
      <c r="G47" s="25"/>
      <c r="H47" s="25"/>
      <c r="I47" s="25"/>
      <c r="J47" s="29"/>
      <c r="K47" s="29"/>
      <c r="L47" s="25"/>
      <c r="N47" s="30" t="s">
        <v>276</v>
      </c>
    </row>
    <row r="48" spans="1:14" ht="10.5">
      <c r="A48" s="26">
        <v>42</v>
      </c>
      <c r="B48" s="7" t="s">
        <v>101</v>
      </c>
      <c r="C48" s="30" t="s">
        <v>236</v>
      </c>
      <c r="D48" s="33">
        <v>0</v>
      </c>
      <c r="F48" s="25">
        <f>ROUND(SUMIF(Определители!I6:I13,"=5",'Базовые цены с учетом расхода'!B6:B13),2)</f>
        <v>0</v>
      </c>
      <c r="G48" s="25">
        <f>ROUND(SUMIF(Определители!I6:I13,"=5",'Базовые цены с учетом расхода'!C6:C13),2)</f>
        <v>0</v>
      </c>
      <c r="H48" s="25">
        <f>ROUND(SUMIF(Определители!I6:I13,"=5",'Базовые цены с учетом расхода'!D6:D13),2)</f>
        <v>0</v>
      </c>
      <c r="I48" s="25">
        <f>ROUND(SUMIF(Определители!I6:I13,"=5",'Базовые цены с учетом расхода'!E6:E13),2)</f>
        <v>0</v>
      </c>
      <c r="J48" s="29">
        <f>ROUND(SUMIF(Определители!I6:I13,"=5",'Базовые цены с учетом расхода'!I6:I13),8)</f>
        <v>0</v>
      </c>
      <c r="K48" s="29">
        <f>ROUND(SUMIF(Определители!I6:I13,"=5",'Базовые цены с учетом расхода'!K6:K13),8)</f>
        <v>0</v>
      </c>
      <c r="L48" s="25">
        <f>ROUND(SUMIF(Определители!I6:I13,"=5",'Базовые цены с учетом расхода'!F6:F13),2)</f>
        <v>0</v>
      </c>
      <c r="N48" s="30" t="s">
        <v>277</v>
      </c>
    </row>
    <row r="49" spans="1:14" ht="10.5">
      <c r="A49" s="26">
        <v>43</v>
      </c>
      <c r="B49" s="7" t="s">
        <v>87</v>
      </c>
      <c r="C49" s="30" t="s">
        <v>236</v>
      </c>
      <c r="D49" s="33">
        <v>0</v>
      </c>
      <c r="F49" s="25">
        <f>ROUND(SUMIF(Определители!I6:I13,"=5",'Базовые цены с учетом расхода'!H6:H13),2)</f>
        <v>0</v>
      </c>
      <c r="G49" s="25"/>
      <c r="H49" s="25"/>
      <c r="I49" s="25"/>
      <c r="J49" s="29"/>
      <c r="K49" s="29"/>
      <c r="L49" s="25"/>
      <c r="N49" s="30" t="s">
        <v>278</v>
      </c>
    </row>
    <row r="50" spans="1:14" ht="10.5">
      <c r="A50" s="26">
        <v>44</v>
      </c>
      <c r="B50" s="7" t="s">
        <v>88</v>
      </c>
      <c r="C50" s="30" t="s">
        <v>236</v>
      </c>
      <c r="D50" s="33">
        <v>0</v>
      </c>
      <c r="F50" s="25">
        <f>ROUND(SUMIF(Определители!I6:I13,"=5",'Базовые цены с учетом расхода'!N6:N13),2)</f>
        <v>0</v>
      </c>
      <c r="G50" s="25"/>
      <c r="H50" s="25"/>
      <c r="I50" s="25"/>
      <c r="J50" s="29"/>
      <c r="K50" s="29"/>
      <c r="L50" s="25"/>
      <c r="N50" s="30" t="s">
        <v>279</v>
      </c>
    </row>
    <row r="51" spans="1:14" ht="10.5">
      <c r="A51" s="26">
        <v>45</v>
      </c>
      <c r="B51" s="7" t="s">
        <v>89</v>
      </c>
      <c r="C51" s="30" t="s">
        <v>236</v>
      </c>
      <c r="D51" s="33">
        <v>0</v>
      </c>
      <c r="F51" s="25">
        <f>ROUND(SUMIF(Определители!I6:I13,"=5",'Базовые цены с учетом расхода'!O6:O13),2)</f>
        <v>0</v>
      </c>
      <c r="G51" s="25"/>
      <c r="H51" s="25"/>
      <c r="I51" s="25"/>
      <c r="J51" s="29"/>
      <c r="K51" s="29"/>
      <c r="L51" s="25"/>
      <c r="N51" s="30" t="s">
        <v>280</v>
      </c>
    </row>
    <row r="52" spans="1:14" ht="10.5">
      <c r="A52" s="26">
        <v>46</v>
      </c>
      <c r="B52" s="7" t="s">
        <v>102</v>
      </c>
      <c r="C52" s="30" t="s">
        <v>244</v>
      </c>
      <c r="D52" s="33">
        <v>0</v>
      </c>
      <c r="F52" s="25">
        <f>ROUND((F48+F50+F51),2)</f>
        <v>0</v>
      </c>
      <c r="G52" s="25"/>
      <c r="H52" s="25"/>
      <c r="I52" s="25"/>
      <c r="J52" s="29"/>
      <c r="K52" s="29"/>
      <c r="L52" s="25"/>
      <c r="N52" s="30" t="s">
        <v>281</v>
      </c>
    </row>
    <row r="53" spans="1:14" ht="10.5">
      <c r="A53" s="26">
        <v>47</v>
      </c>
      <c r="B53" s="7" t="s">
        <v>103</v>
      </c>
      <c r="C53" s="30" t="s">
        <v>236</v>
      </c>
      <c r="D53" s="33">
        <v>0</v>
      </c>
      <c r="F53" s="25">
        <f>ROUND(SUMIF(Определители!I6:I13,"=6",'Базовые цены с учетом расхода'!B6:B13),2)</f>
        <v>0</v>
      </c>
      <c r="G53" s="25">
        <f>ROUND(SUMIF(Определители!I6:I13,"=6",'Базовые цены с учетом расхода'!C6:C13),2)</f>
        <v>0</v>
      </c>
      <c r="H53" s="25">
        <f>ROUND(SUMIF(Определители!I6:I13,"=6",'Базовые цены с учетом расхода'!D6:D13),2)</f>
        <v>0</v>
      </c>
      <c r="I53" s="25">
        <f>ROUND(SUMIF(Определители!I6:I13,"=6",'Базовые цены с учетом расхода'!E6:E13),2)</f>
        <v>0</v>
      </c>
      <c r="J53" s="29">
        <f>ROUND(SUMIF(Определители!I6:I13,"=6",'Базовые цены с учетом расхода'!I6:I13),8)</f>
        <v>0</v>
      </c>
      <c r="K53" s="29">
        <f>ROUND(SUMIF(Определители!I6:I13,"=6",'Базовые цены с учетом расхода'!K6:K13),8)</f>
        <v>0</v>
      </c>
      <c r="L53" s="25">
        <f>ROUND(SUMIF(Определители!I6:I13,"=6",'Базовые цены с учетом расхода'!F6:F13),2)</f>
        <v>0</v>
      </c>
      <c r="N53" s="30" t="s">
        <v>282</v>
      </c>
    </row>
    <row r="54" spans="1:14" ht="10.5">
      <c r="A54" s="26">
        <v>48</v>
      </c>
      <c r="B54" s="7" t="s">
        <v>87</v>
      </c>
      <c r="C54" s="30" t="s">
        <v>236</v>
      </c>
      <c r="D54" s="33">
        <v>0</v>
      </c>
      <c r="F54" s="25">
        <f>ROUND(SUMIF(Определители!I6:I13,"=6",'Базовые цены с учетом расхода'!H6:H13),2)</f>
        <v>0</v>
      </c>
      <c r="G54" s="25"/>
      <c r="H54" s="25"/>
      <c r="I54" s="25"/>
      <c r="J54" s="29"/>
      <c r="K54" s="29"/>
      <c r="L54" s="25"/>
      <c r="N54" s="30" t="s">
        <v>283</v>
      </c>
    </row>
    <row r="55" spans="1:14" ht="10.5">
      <c r="A55" s="26">
        <v>49</v>
      </c>
      <c r="B55" s="7" t="s">
        <v>88</v>
      </c>
      <c r="C55" s="30" t="s">
        <v>236</v>
      </c>
      <c r="D55" s="33">
        <v>0</v>
      </c>
      <c r="F55" s="25">
        <f>ROUND(SUMIF(Определители!I6:I13,"=6",'Базовые цены с учетом расхода'!N6:N13),2)</f>
        <v>0</v>
      </c>
      <c r="G55" s="25"/>
      <c r="H55" s="25"/>
      <c r="I55" s="25"/>
      <c r="J55" s="29"/>
      <c r="K55" s="29"/>
      <c r="L55" s="25"/>
      <c r="N55" s="30" t="s">
        <v>284</v>
      </c>
    </row>
    <row r="56" spans="1:14" ht="10.5">
      <c r="A56" s="26">
        <v>50</v>
      </c>
      <c r="B56" s="7" t="s">
        <v>89</v>
      </c>
      <c r="C56" s="30" t="s">
        <v>236</v>
      </c>
      <c r="D56" s="33">
        <v>0</v>
      </c>
      <c r="F56" s="25">
        <f>ROUND(SUMIF(Определители!I6:I13,"=6",'Базовые цены с учетом расхода'!O6:O13),2)</f>
        <v>0</v>
      </c>
      <c r="G56" s="25"/>
      <c r="H56" s="25"/>
      <c r="I56" s="25"/>
      <c r="J56" s="29"/>
      <c r="K56" s="29"/>
      <c r="L56" s="25"/>
      <c r="N56" s="30" t="s">
        <v>285</v>
      </c>
    </row>
    <row r="57" spans="1:14" ht="10.5">
      <c r="A57" s="26">
        <v>51</v>
      </c>
      <c r="B57" s="7" t="s">
        <v>104</v>
      </c>
      <c r="C57" s="30" t="s">
        <v>244</v>
      </c>
      <c r="D57" s="33">
        <v>0</v>
      </c>
      <c r="F57" s="25">
        <f>ROUND((F53+F55+F56),2)</f>
        <v>0</v>
      </c>
      <c r="G57" s="25"/>
      <c r="H57" s="25"/>
      <c r="I57" s="25"/>
      <c r="J57" s="29"/>
      <c r="K57" s="29"/>
      <c r="L57" s="25"/>
      <c r="N57" s="30" t="s">
        <v>286</v>
      </c>
    </row>
    <row r="58" spans="1:14" ht="10.5">
      <c r="A58" s="26">
        <v>52</v>
      </c>
      <c r="B58" s="7" t="s">
        <v>105</v>
      </c>
      <c r="C58" s="30" t="s">
        <v>236</v>
      </c>
      <c r="D58" s="33">
        <v>0</v>
      </c>
      <c r="F58" s="25">
        <f>ROUND(SUMIF(Определители!I6:I13,"=7",'Базовые цены с учетом расхода'!B6:B13),2)</f>
        <v>0</v>
      </c>
      <c r="G58" s="25">
        <f>ROUND(SUMIF(Определители!I6:I13,"=7",'Базовые цены с учетом расхода'!C6:C13),2)</f>
        <v>0</v>
      </c>
      <c r="H58" s="25">
        <f>ROUND(SUMIF(Определители!I6:I13,"=7",'Базовые цены с учетом расхода'!D6:D13),2)</f>
        <v>0</v>
      </c>
      <c r="I58" s="25">
        <f>ROUND(SUMIF(Определители!I6:I13,"=7",'Базовые цены с учетом расхода'!E6:E13),2)</f>
        <v>0</v>
      </c>
      <c r="J58" s="29">
        <f>ROUND(SUMIF(Определители!I6:I13,"=7",'Базовые цены с учетом расхода'!I6:I13),8)</f>
        <v>0</v>
      </c>
      <c r="K58" s="29">
        <f>ROUND(SUMIF(Определители!I6:I13,"=7",'Базовые цены с учетом расхода'!K6:K13),8)</f>
        <v>0</v>
      </c>
      <c r="L58" s="25">
        <f>ROUND(SUMIF(Определители!I6:I13,"=7",'Базовые цены с учетом расхода'!F6:F13),2)</f>
        <v>0</v>
      </c>
      <c r="N58" s="30" t="s">
        <v>287</v>
      </c>
    </row>
    <row r="59" spans="1:14" ht="10.5">
      <c r="A59" s="26">
        <v>53</v>
      </c>
      <c r="B59" s="7" t="s">
        <v>83</v>
      </c>
      <c r="C59" s="30" t="s">
        <v>236</v>
      </c>
      <c r="D59" s="33">
        <v>0</v>
      </c>
      <c r="F59" s="25"/>
      <c r="G59" s="25"/>
      <c r="H59" s="25"/>
      <c r="I59" s="25"/>
      <c r="J59" s="29"/>
      <c r="K59" s="29"/>
      <c r="L59" s="25"/>
      <c r="N59" s="30" t="s">
        <v>288</v>
      </c>
    </row>
    <row r="60" spans="1:14" ht="10.5">
      <c r="A60" s="26">
        <v>54</v>
      </c>
      <c r="B60" s="7" t="s">
        <v>106</v>
      </c>
      <c r="C60" s="30" t="s">
        <v>236</v>
      </c>
      <c r="D60" s="33">
        <v>0</v>
      </c>
      <c r="F60" s="25">
        <f>ROUND(СУММЕСЛИ2(Определители!I6:I13,"2",Определители!G6:G13,"1",'Базовые цены с учетом расхода'!B6:B13),2)</f>
        <v>2326.86</v>
      </c>
      <c r="G60" s="25"/>
      <c r="H60" s="25"/>
      <c r="I60" s="25"/>
      <c r="J60" s="29"/>
      <c r="K60" s="29"/>
      <c r="L60" s="25"/>
      <c r="N60" s="30" t="s">
        <v>289</v>
      </c>
    </row>
    <row r="61" spans="1:14" ht="10.5">
      <c r="A61" s="26">
        <v>55</v>
      </c>
      <c r="B61" s="7" t="s">
        <v>87</v>
      </c>
      <c r="C61" s="30" t="s">
        <v>236</v>
      </c>
      <c r="D61" s="33">
        <v>0</v>
      </c>
      <c r="F61" s="25">
        <f>ROUND(SUMIF(Определители!I6:I13,"=7",'Базовые цены с учетом расхода'!H6:H13),2)</f>
        <v>0</v>
      </c>
      <c r="G61" s="25"/>
      <c r="H61" s="25"/>
      <c r="I61" s="25"/>
      <c r="J61" s="29"/>
      <c r="K61" s="29"/>
      <c r="L61" s="25"/>
      <c r="N61" s="30" t="s">
        <v>290</v>
      </c>
    </row>
    <row r="62" spans="1:14" ht="10.5">
      <c r="A62" s="26">
        <v>56</v>
      </c>
      <c r="B62" s="7" t="s">
        <v>107</v>
      </c>
      <c r="C62" s="30" t="s">
        <v>236</v>
      </c>
      <c r="D62" s="33">
        <v>0</v>
      </c>
      <c r="F62" s="25">
        <f>ROUND(SUMIF(Определители!I6:I13,"=7",'Базовые цены с учетом расхода'!N6:N13),2)</f>
        <v>0</v>
      </c>
      <c r="G62" s="25"/>
      <c r="H62" s="25"/>
      <c r="I62" s="25"/>
      <c r="J62" s="29"/>
      <c r="K62" s="29"/>
      <c r="L62" s="25"/>
      <c r="N62" s="30" t="s">
        <v>291</v>
      </c>
    </row>
    <row r="63" spans="1:14" ht="10.5">
      <c r="A63" s="26">
        <v>57</v>
      </c>
      <c r="B63" s="7" t="s">
        <v>89</v>
      </c>
      <c r="C63" s="30" t="s">
        <v>236</v>
      </c>
      <c r="D63" s="33">
        <v>0</v>
      </c>
      <c r="F63" s="25">
        <f>ROUND(SUMIF(Определители!I6:I13,"=7",'Базовые цены с учетом расхода'!O6:O13),2)</f>
        <v>0</v>
      </c>
      <c r="G63" s="25"/>
      <c r="H63" s="25"/>
      <c r="I63" s="25"/>
      <c r="J63" s="29"/>
      <c r="K63" s="29"/>
      <c r="L63" s="25"/>
      <c r="N63" s="30" t="s">
        <v>292</v>
      </c>
    </row>
    <row r="64" spans="1:14" ht="10.5">
      <c r="A64" s="26">
        <v>58</v>
      </c>
      <c r="B64" s="7" t="s">
        <v>108</v>
      </c>
      <c r="C64" s="30" t="s">
        <v>244</v>
      </c>
      <c r="D64" s="33">
        <v>0</v>
      </c>
      <c r="F64" s="25">
        <f>ROUND((F58+F62+F63),2)</f>
        <v>0</v>
      </c>
      <c r="G64" s="25"/>
      <c r="H64" s="25"/>
      <c r="I64" s="25"/>
      <c r="J64" s="29"/>
      <c r="K64" s="29"/>
      <c r="L64" s="25"/>
      <c r="N64" s="30" t="s">
        <v>293</v>
      </c>
    </row>
    <row r="65" spans="1:14" ht="10.5">
      <c r="A65" s="26">
        <v>59</v>
      </c>
      <c r="B65" s="7" t="s">
        <v>109</v>
      </c>
      <c r="C65" s="30" t="s">
        <v>236</v>
      </c>
      <c r="D65" s="33">
        <v>0</v>
      </c>
      <c r="F65" s="25">
        <f>ROUND(SUMIF(Определители!I6:I13,"=9",'Базовые цены с учетом расхода'!B6:B13),2)</f>
        <v>0</v>
      </c>
      <c r="G65" s="25">
        <f>ROUND(SUMIF(Определители!I6:I13,"=9",'Базовые цены с учетом расхода'!C6:C13),2)</f>
        <v>0</v>
      </c>
      <c r="H65" s="25">
        <f>ROUND(SUMIF(Определители!I6:I13,"=9",'Базовые цены с учетом расхода'!D6:D13),2)</f>
        <v>0</v>
      </c>
      <c r="I65" s="25">
        <f>ROUND(SUMIF(Определители!I6:I13,"=9",'Базовые цены с учетом расхода'!E6:E13),2)</f>
        <v>0</v>
      </c>
      <c r="J65" s="29">
        <f>ROUND(SUMIF(Определители!I6:I13,"=9",'Базовые цены с учетом расхода'!I6:I13),8)</f>
        <v>0</v>
      </c>
      <c r="K65" s="29">
        <f>ROUND(SUMIF(Определители!I6:I13,"=9",'Базовые цены с учетом расхода'!K6:K13),8)</f>
        <v>0</v>
      </c>
      <c r="L65" s="25">
        <f>ROUND(SUMIF(Определители!I6:I13,"=9",'Базовые цены с учетом расхода'!F6:F13),2)</f>
        <v>0</v>
      </c>
      <c r="N65" s="30" t="s">
        <v>294</v>
      </c>
    </row>
    <row r="66" spans="1:14" ht="10.5">
      <c r="A66" s="26">
        <v>60</v>
      </c>
      <c r="B66" s="7" t="s">
        <v>107</v>
      </c>
      <c r="C66" s="30" t="s">
        <v>236</v>
      </c>
      <c r="D66" s="33">
        <v>0</v>
      </c>
      <c r="F66" s="25">
        <f>ROUND(SUMIF(Определители!I6:I13,"=9",'Базовые цены с учетом расхода'!N6:N13),2)</f>
        <v>0</v>
      </c>
      <c r="G66" s="25"/>
      <c r="H66" s="25"/>
      <c r="I66" s="25"/>
      <c r="J66" s="29"/>
      <c r="K66" s="29"/>
      <c r="L66" s="25"/>
      <c r="N66" s="30" t="s">
        <v>295</v>
      </c>
    </row>
    <row r="67" spans="1:14" ht="10.5">
      <c r="A67" s="26">
        <v>61</v>
      </c>
      <c r="B67" s="7" t="s">
        <v>89</v>
      </c>
      <c r="C67" s="30" t="s">
        <v>236</v>
      </c>
      <c r="D67" s="33">
        <v>0</v>
      </c>
      <c r="F67" s="25">
        <f>ROUND(SUMIF(Определители!I6:I13,"=9",'Базовые цены с учетом расхода'!O6:O13),2)</f>
        <v>0</v>
      </c>
      <c r="G67" s="25"/>
      <c r="H67" s="25"/>
      <c r="I67" s="25"/>
      <c r="J67" s="29"/>
      <c r="K67" s="29"/>
      <c r="L67" s="25"/>
      <c r="N67" s="30" t="s">
        <v>296</v>
      </c>
    </row>
    <row r="68" spans="1:14" ht="10.5">
      <c r="A68" s="26">
        <v>62</v>
      </c>
      <c r="B68" s="7" t="s">
        <v>110</v>
      </c>
      <c r="C68" s="30" t="s">
        <v>244</v>
      </c>
      <c r="D68" s="33">
        <v>0</v>
      </c>
      <c r="F68" s="25">
        <f>ROUND((F65+F66+F67),2)</f>
        <v>0</v>
      </c>
      <c r="G68" s="25"/>
      <c r="H68" s="25"/>
      <c r="I68" s="25"/>
      <c r="J68" s="29"/>
      <c r="K68" s="29"/>
      <c r="L68" s="25"/>
      <c r="N68" s="30" t="s">
        <v>297</v>
      </c>
    </row>
    <row r="69" spans="1:14" ht="10.5">
      <c r="A69" s="26">
        <v>63</v>
      </c>
      <c r="B69" s="7" t="s">
        <v>111</v>
      </c>
      <c r="C69" s="30" t="s">
        <v>236</v>
      </c>
      <c r="D69" s="33">
        <v>0</v>
      </c>
      <c r="F69" s="25">
        <f>ROUND(SUMIF(Определители!I6:I13,"=:",'Базовые цены с учетом расхода'!B6:B13),2)</f>
        <v>0</v>
      </c>
      <c r="G69" s="25">
        <f>ROUND(SUMIF(Определители!I6:I13,"=:",'Базовые цены с учетом расхода'!C6:C13),2)</f>
        <v>0</v>
      </c>
      <c r="H69" s="25">
        <f>ROUND(SUMIF(Определители!I6:I13,"=:",'Базовые цены с учетом расхода'!D6:D13),2)</f>
        <v>0</v>
      </c>
      <c r="I69" s="25">
        <f>ROUND(SUMIF(Определители!I6:I13,"=:",'Базовые цены с учетом расхода'!E6:E13),2)</f>
        <v>0</v>
      </c>
      <c r="J69" s="29">
        <f>ROUND(SUMIF(Определители!I6:I13,"=:",'Базовые цены с учетом расхода'!I6:I13),8)</f>
        <v>0</v>
      </c>
      <c r="K69" s="29">
        <f>ROUND(SUMIF(Определители!I6:I13,"=:",'Базовые цены с учетом расхода'!K6:K13),8)</f>
        <v>0</v>
      </c>
      <c r="L69" s="25">
        <f>ROUND(SUMIF(Определители!I6:I13,"=:",'Базовые цены с учетом расхода'!F6:F13),2)</f>
        <v>0</v>
      </c>
      <c r="N69" s="30" t="s">
        <v>298</v>
      </c>
    </row>
    <row r="70" spans="1:14" ht="10.5">
      <c r="A70" s="26">
        <v>64</v>
      </c>
      <c r="B70" s="7" t="s">
        <v>87</v>
      </c>
      <c r="C70" s="30" t="s">
        <v>236</v>
      </c>
      <c r="D70" s="33">
        <v>0</v>
      </c>
      <c r="F70" s="25">
        <f>ROUND(SUMIF(Определители!I6:I13,"=:",'Базовые цены с учетом расхода'!H6:H13),2)</f>
        <v>0</v>
      </c>
      <c r="G70" s="25"/>
      <c r="H70" s="25"/>
      <c r="I70" s="25"/>
      <c r="J70" s="29"/>
      <c r="K70" s="29"/>
      <c r="L70" s="25"/>
      <c r="N70" s="30" t="s">
        <v>299</v>
      </c>
    </row>
    <row r="71" spans="1:14" ht="10.5">
      <c r="A71" s="26">
        <v>65</v>
      </c>
      <c r="B71" s="7" t="s">
        <v>107</v>
      </c>
      <c r="C71" s="30" t="s">
        <v>236</v>
      </c>
      <c r="D71" s="33">
        <v>0</v>
      </c>
      <c r="F71" s="25">
        <f>ROUND(SUMIF(Определители!I6:I13,"=:",'Базовые цены с учетом расхода'!N6:N13),2)</f>
        <v>0</v>
      </c>
      <c r="G71" s="25"/>
      <c r="H71" s="25"/>
      <c r="I71" s="25"/>
      <c r="J71" s="29"/>
      <c r="K71" s="29"/>
      <c r="L71" s="25"/>
      <c r="N71" s="30" t="s">
        <v>300</v>
      </c>
    </row>
    <row r="72" spans="1:14" ht="10.5">
      <c r="A72" s="26">
        <v>66</v>
      </c>
      <c r="B72" s="7" t="s">
        <v>89</v>
      </c>
      <c r="C72" s="30" t="s">
        <v>236</v>
      </c>
      <c r="D72" s="33">
        <v>0</v>
      </c>
      <c r="F72" s="25">
        <f>ROUND(SUMIF(Определители!I6:I13,"=:",'Базовые цены с учетом расхода'!O6:O13),2)</f>
        <v>0</v>
      </c>
      <c r="G72" s="25"/>
      <c r="H72" s="25"/>
      <c r="I72" s="25"/>
      <c r="J72" s="29"/>
      <c r="K72" s="29"/>
      <c r="L72" s="25"/>
      <c r="N72" s="30" t="s">
        <v>301</v>
      </c>
    </row>
    <row r="73" spans="1:14" ht="10.5">
      <c r="A73" s="26">
        <v>67</v>
      </c>
      <c r="B73" s="7" t="s">
        <v>112</v>
      </c>
      <c r="C73" s="30" t="s">
        <v>244</v>
      </c>
      <c r="D73" s="33">
        <v>0</v>
      </c>
      <c r="F73" s="25">
        <f>ROUND((F69+F71+F72),2)</f>
        <v>0</v>
      </c>
      <c r="G73" s="25"/>
      <c r="H73" s="25"/>
      <c r="I73" s="25"/>
      <c r="J73" s="29"/>
      <c r="K73" s="29"/>
      <c r="L73" s="25"/>
      <c r="N73" s="30" t="s">
        <v>302</v>
      </c>
    </row>
    <row r="74" spans="1:14" ht="10.5">
      <c r="A74" s="26">
        <v>68</v>
      </c>
      <c r="B74" s="7" t="s">
        <v>113</v>
      </c>
      <c r="C74" s="30" t="s">
        <v>236</v>
      </c>
      <c r="D74" s="33">
        <v>0</v>
      </c>
      <c r="F74" s="25">
        <f>ROUND(SUMIF(Определители!I6:I13,"=8",'Базовые цены с учетом расхода'!B6:B13),2)</f>
        <v>0</v>
      </c>
      <c r="G74" s="25">
        <f>ROUND(SUMIF(Определители!I6:I13,"=8",'Базовые цены с учетом расхода'!C6:C13),2)</f>
        <v>0</v>
      </c>
      <c r="H74" s="25">
        <f>ROUND(SUMIF(Определители!I6:I13,"=8",'Базовые цены с учетом расхода'!D6:D13),2)</f>
        <v>0</v>
      </c>
      <c r="I74" s="25">
        <f>ROUND(SUMIF(Определители!I6:I13,"=8",'Базовые цены с учетом расхода'!E6:E13),2)</f>
        <v>0</v>
      </c>
      <c r="J74" s="29">
        <f>ROUND(SUMIF(Определители!I6:I13,"=8",'Базовые цены с учетом расхода'!I6:I13),8)</f>
        <v>0</v>
      </c>
      <c r="K74" s="29">
        <f>ROUND(SUMIF(Определители!I6:I13,"=8",'Базовые цены с учетом расхода'!K6:K13),8)</f>
        <v>0</v>
      </c>
      <c r="L74" s="25">
        <f>ROUND(SUMIF(Определители!I6:I13,"=8",'Базовые цены с учетом расхода'!F6:F13),2)</f>
        <v>0</v>
      </c>
      <c r="N74" s="30" t="s">
        <v>303</v>
      </c>
    </row>
    <row r="75" spans="1:14" ht="10.5">
      <c r="A75" s="26">
        <v>69</v>
      </c>
      <c r="B75" s="7" t="s">
        <v>87</v>
      </c>
      <c r="C75" s="30" t="s">
        <v>236</v>
      </c>
      <c r="D75" s="33">
        <v>0</v>
      </c>
      <c r="F75" s="25">
        <f>ROUND(SUMIF(Определители!I6:I13,"=8",'Базовые цены с учетом расхода'!H6:H13),2)</f>
        <v>0</v>
      </c>
      <c r="G75" s="25"/>
      <c r="H75" s="25"/>
      <c r="I75" s="25"/>
      <c r="J75" s="29"/>
      <c r="K75" s="29"/>
      <c r="L75" s="25"/>
      <c r="N75" s="30" t="s">
        <v>304</v>
      </c>
    </row>
    <row r="76" spans="1:14" ht="10.5">
      <c r="A76" s="26">
        <v>70</v>
      </c>
      <c r="B76" s="7" t="s">
        <v>114</v>
      </c>
      <c r="C76" s="30" t="s">
        <v>244</v>
      </c>
      <c r="D76" s="33">
        <v>0</v>
      </c>
      <c r="F76" s="25">
        <f>ROUND((F17+F27+F34+F39+F47+F52+F57+F64+F68+F73+F74),2)</f>
        <v>3627.55</v>
      </c>
      <c r="G76" s="25">
        <f>ROUND((G17+G27+G34+G39+G47+G52+G57+G64+G68+G73+G74),2)</f>
        <v>0</v>
      </c>
      <c r="H76" s="25">
        <f>ROUND((H17+H27+H34+H39+H47+H52+H57+H64+H68+H73+H74),2)</f>
        <v>0</v>
      </c>
      <c r="I76" s="25">
        <f>ROUND((I17+I27+I34+I39+I47+I52+I57+I64+I68+I73+I74),2)</f>
        <v>0</v>
      </c>
      <c r="J76" s="29">
        <f>ROUND((J17+J27+J34+J39+J47+J52+J57+J64+J68+J73+J74),8)</f>
        <v>0</v>
      </c>
      <c r="K76" s="29">
        <f>ROUND((K17+K27+K34+K39+K47+K52+K57+K64+K68+K73+K74),8)</f>
        <v>0</v>
      </c>
      <c r="L76" s="25">
        <f>ROUND((L17+L27+L34+L39+L47+L52+L57+L64+L68+L73+L74),2)</f>
        <v>0</v>
      </c>
      <c r="N76" s="30" t="s">
        <v>305</v>
      </c>
    </row>
    <row r="77" spans="1:14" ht="10.5">
      <c r="A77" s="26">
        <v>71</v>
      </c>
      <c r="B77" s="7" t="s">
        <v>115</v>
      </c>
      <c r="C77" s="30" t="s">
        <v>244</v>
      </c>
      <c r="D77" s="33">
        <v>0</v>
      </c>
      <c r="F77" s="25">
        <f>ROUND((F23+F31+F36+F43+F49+F54+F61+F70+F75),2)</f>
        <v>0</v>
      </c>
      <c r="G77" s="25"/>
      <c r="H77" s="25"/>
      <c r="I77" s="25"/>
      <c r="J77" s="29"/>
      <c r="K77" s="29"/>
      <c r="L77" s="25"/>
      <c r="N77" s="30" t="s">
        <v>306</v>
      </c>
    </row>
    <row r="78" spans="1:14" ht="10.5">
      <c r="A78" s="26">
        <v>72</v>
      </c>
      <c r="B78" s="7" t="s">
        <v>116</v>
      </c>
      <c r="C78" s="30" t="s">
        <v>244</v>
      </c>
      <c r="D78" s="33">
        <v>0</v>
      </c>
      <c r="F78" s="25">
        <f>ROUND((F24+F32+F37+F44+F50+F55+F62+F66+F71),2)</f>
        <v>367.02</v>
      </c>
      <c r="G78" s="25"/>
      <c r="H78" s="25"/>
      <c r="I78" s="25"/>
      <c r="J78" s="29"/>
      <c r="K78" s="29"/>
      <c r="L78" s="25"/>
      <c r="N78" s="30" t="s">
        <v>307</v>
      </c>
    </row>
    <row r="79" spans="1:14" ht="10.5">
      <c r="A79" s="26">
        <v>73</v>
      </c>
      <c r="B79" s="7" t="s">
        <v>117</v>
      </c>
      <c r="C79" s="30" t="s">
        <v>244</v>
      </c>
      <c r="D79" s="33">
        <v>0</v>
      </c>
      <c r="F79" s="25">
        <f>ROUND((F25+F33+F38+F45+F51+F56+F63+F67+F72),2)</f>
        <v>192.83</v>
      </c>
      <c r="G79" s="25"/>
      <c r="H79" s="25"/>
      <c r="I79" s="25"/>
      <c r="J79" s="29"/>
      <c r="K79" s="29"/>
      <c r="L79" s="25"/>
      <c r="N79" s="30" t="s">
        <v>308</v>
      </c>
    </row>
    <row r="80" spans="1:14" ht="10.5">
      <c r="A80" s="26">
        <v>74</v>
      </c>
      <c r="B80" s="7" t="s">
        <v>118</v>
      </c>
      <c r="C80" s="30" t="s">
        <v>309</v>
      </c>
      <c r="D80" s="33">
        <v>0</v>
      </c>
      <c r="F80" s="25">
        <f>ROUND(SUM('Базовые цены с учетом расхода'!X6:X13),2)</f>
        <v>0</v>
      </c>
      <c r="G80" s="25"/>
      <c r="H80" s="25"/>
      <c r="I80" s="25"/>
      <c r="J80" s="29"/>
      <c r="K80" s="29"/>
      <c r="L80" s="25">
        <f>ROUND(SUM('Базовые цены с учетом расхода'!X6:X13),2)</f>
        <v>0</v>
      </c>
      <c r="N80" s="30" t="s">
        <v>310</v>
      </c>
    </row>
    <row r="81" spans="1:14" ht="10.5">
      <c r="A81" s="26">
        <v>75</v>
      </c>
      <c r="B81" s="7" t="s">
        <v>119</v>
      </c>
      <c r="C81" s="30" t="s">
        <v>309</v>
      </c>
      <c r="D81" s="33">
        <v>0</v>
      </c>
      <c r="F81" s="25">
        <f>ROUND(SUM('Базовые цены с учетом расхода'!C6:C13),2)</f>
        <v>315.17</v>
      </c>
      <c r="G81" s="25"/>
      <c r="H81" s="25"/>
      <c r="I81" s="25"/>
      <c r="J81" s="29"/>
      <c r="K81" s="29"/>
      <c r="L81" s="25"/>
      <c r="N81" s="30" t="s">
        <v>311</v>
      </c>
    </row>
    <row r="82" spans="1:14" ht="10.5">
      <c r="A82" s="26">
        <v>76</v>
      </c>
      <c r="B82" s="7" t="s">
        <v>120</v>
      </c>
      <c r="C82" s="30" t="s">
        <v>309</v>
      </c>
      <c r="D82" s="33">
        <v>0</v>
      </c>
      <c r="F82" s="25">
        <f>ROUND(SUM('Базовые цены с учетом расхода'!E6:E13),2)</f>
        <v>42.43</v>
      </c>
      <c r="G82" s="25"/>
      <c r="H82" s="25"/>
      <c r="I82" s="25"/>
      <c r="J82" s="29"/>
      <c r="K82" s="29"/>
      <c r="L82" s="25"/>
      <c r="N82" s="30" t="s">
        <v>312</v>
      </c>
    </row>
    <row r="83" spans="1:14" ht="10.5">
      <c r="A83" s="26">
        <v>77</v>
      </c>
      <c r="B83" s="7" t="s">
        <v>121</v>
      </c>
      <c r="C83" s="30" t="s">
        <v>313</v>
      </c>
      <c r="D83" s="33">
        <v>0</v>
      </c>
      <c r="F83" s="25">
        <f>ROUND((F81+F82),2)</f>
        <v>357.6</v>
      </c>
      <c r="G83" s="25"/>
      <c r="H83" s="25"/>
      <c r="I83" s="25"/>
      <c r="J83" s="29"/>
      <c r="K83" s="29"/>
      <c r="L83" s="25"/>
      <c r="N83" s="30" t="s">
        <v>314</v>
      </c>
    </row>
    <row r="84" spans="1:14" ht="10.5">
      <c r="A84" s="26">
        <v>78</v>
      </c>
      <c r="B84" s="7" t="s">
        <v>122</v>
      </c>
      <c r="C84" s="30" t="s">
        <v>309</v>
      </c>
      <c r="D84" s="33">
        <v>0</v>
      </c>
      <c r="F84" s="25"/>
      <c r="G84" s="25"/>
      <c r="H84" s="25"/>
      <c r="I84" s="25"/>
      <c r="J84" s="29">
        <f>ROUND(SUM('Базовые цены с учетом расхода'!I6:I13),8)</f>
        <v>29.24925</v>
      </c>
      <c r="K84" s="29"/>
      <c r="L84" s="25"/>
      <c r="N84" s="30" t="s">
        <v>315</v>
      </c>
    </row>
    <row r="85" spans="1:14" ht="10.5">
      <c r="A85" s="26">
        <v>79</v>
      </c>
      <c r="B85" s="7" t="s">
        <v>123</v>
      </c>
      <c r="C85" s="30" t="s">
        <v>309</v>
      </c>
      <c r="D85" s="33">
        <v>0</v>
      </c>
      <c r="F85" s="25"/>
      <c r="G85" s="25"/>
      <c r="H85" s="25"/>
      <c r="I85" s="25"/>
      <c r="J85" s="29">
        <f>ROUND(SUM('Базовые цены с учетом расхода'!K6:K13),8)</f>
        <v>3.14343</v>
      </c>
      <c r="K85" s="29"/>
      <c r="L85" s="25"/>
      <c r="N85" s="30" t="s">
        <v>316</v>
      </c>
    </row>
    <row r="86" spans="1:14" ht="10.5">
      <c r="A86" s="26">
        <v>80</v>
      </c>
      <c r="B86" s="7" t="s">
        <v>124</v>
      </c>
      <c r="C86" s="30" t="s">
        <v>313</v>
      </c>
      <c r="D86" s="33">
        <v>0</v>
      </c>
      <c r="F86" s="25"/>
      <c r="G86" s="25"/>
      <c r="H86" s="25"/>
      <c r="I86" s="25"/>
      <c r="J86" s="29">
        <f>ROUND((J84+J85),8)</f>
        <v>32.39268</v>
      </c>
      <c r="K86" s="29"/>
      <c r="L86" s="25"/>
      <c r="N86" s="30" t="s">
        <v>317</v>
      </c>
    </row>
    <row r="87" spans="1:14" ht="10.5">
      <c r="A87" s="26">
        <v>81</v>
      </c>
      <c r="B87" s="7" t="s">
        <v>125</v>
      </c>
      <c r="C87" s="30" t="s">
        <v>318</v>
      </c>
      <c r="D87" s="33">
        <v>3.75</v>
      </c>
      <c r="F87" s="25">
        <f>ROUND((F76)*D87,2)</f>
        <v>13603.31</v>
      </c>
      <c r="G87" s="25"/>
      <c r="H87" s="25"/>
      <c r="I87" s="25"/>
      <c r="J87" s="29"/>
      <c r="K87" s="29"/>
      <c r="L87" s="25"/>
      <c r="N87" s="30" t="s">
        <v>319</v>
      </c>
    </row>
    <row r="88" spans="1:14" ht="10.5">
      <c r="A88" s="26">
        <v>82</v>
      </c>
      <c r="B88" s="7" t="s">
        <v>126</v>
      </c>
      <c r="C88" s="30" t="s">
        <v>320</v>
      </c>
      <c r="D88" s="33">
        <v>18</v>
      </c>
      <c r="F88" s="25">
        <f>ROUND((F87)*D88/100,2)</f>
        <v>2448.6</v>
      </c>
      <c r="G88" s="25"/>
      <c r="H88" s="25"/>
      <c r="I88" s="25"/>
      <c r="J88" s="29"/>
      <c r="K88" s="29"/>
      <c r="L88" s="25"/>
      <c r="N88" s="30" t="s">
        <v>321</v>
      </c>
    </row>
    <row r="89" spans="1:14" ht="10.5">
      <c r="A89" s="26">
        <v>83</v>
      </c>
      <c r="B89" s="7" t="s">
        <v>127</v>
      </c>
      <c r="C89" s="30" t="s">
        <v>313</v>
      </c>
      <c r="D89" s="33">
        <v>0</v>
      </c>
      <c r="F89" s="25">
        <f>ROUND((F87+F88),2)</f>
        <v>16051.91</v>
      </c>
      <c r="G89" s="25"/>
      <c r="H89" s="25"/>
      <c r="I89" s="25"/>
      <c r="J89" s="29"/>
      <c r="K89" s="29"/>
      <c r="L89" s="25"/>
      <c r="N89" s="30" t="s">
        <v>322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2010-12-07T09:33:09Z</dcterms:created>
  <dcterms:modified xsi:type="dcterms:W3CDTF">2011-01-21T16:01:14Z</dcterms:modified>
  <cp:category/>
  <cp:version/>
  <cp:contentType/>
  <cp:contentStatus/>
</cp:coreProperties>
</file>