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<sst xmlns="http://schemas.openxmlformats.org/spreadsheetml/2006/main" count="788" uniqueCount="324">
  <si>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</si>
  <si>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</si>
  <si>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</si>
  <si>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</si>
  <si>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</si>
  <si>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</si>
  <si>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</si>
  <si>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этажей, 12-й подъезд.</t>
  </si>
  <si>
    <t>ЛОКАЛЬНАЯ СМЕТА № 1</t>
  </si>
  <si>
    <t>на замену канализационного выпуска от дома до колодца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</si>
  <si>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</si>
  <si>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</si>
  <si>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</si>
  <si>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</si>
  <si>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</si>
  <si>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</si>
  <si>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</si>
  <si>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</si>
  <si>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</si>
  <si>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</si>
  <si>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</si>
  <si>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</si>
  <si>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</si>
  <si>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</si>
  <si>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</si>
  <si>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</si>
  <si>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</si>
  <si>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</si>
  <si>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</si>
  <si>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</si>
  <si>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</si>
  <si>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Е01-01-003-15
Разработка грунта в отвал экскаваторами &lt;драглайн&gt; или &lt;обратная лопата&gt; с ковшом вместимостью 0,5 (0,5-0,63) м3, группа грунтов: 3, 1000 м3</t>
  </si>
  <si>
    <t>sum</t>
  </si>
  <si>
    <t>IsZPR</t>
  </si>
  <si>
    <t>sum_b</t>
  </si>
  <si>
    <t>IsZPM</t>
  </si>
  <si>
    <t xml:space="preserve">   Вычт.ресурсы:  Х06-0247:[ ЭМ-(4605.55=123.11*37.41), ЗПМ-(610.91=16.33*37.41) ]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</si>
  <si>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</si>
  <si>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</si>
  <si>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</si>
  <si>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</si>
  <si>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</si>
  <si>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</si>
  <si>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</si>
  <si>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</si>
  <si>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</si>
  <si>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</si>
  <si>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</si>
  <si>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</si>
  <si>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</si>
  <si>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С999-Счет №...от
Услуги экскаватора "Беларусь" 1016,95(без НДС)/3,45, маш.ч</t>
  </si>
  <si>
    <t xml:space="preserve">   Поправки: М: *1/3.45</t>
  </si>
  <si>
    <t>3.</t>
  </si>
  <si>
    <t>Е16-01-004-2
Прокладка в траншеях трубопроводов из чугунных канализационных труб диаметром, мм: 100, м</t>
  </si>
  <si>
    <t>4.</t>
  </si>
  <si>
    <t>Е23-01-001-2
Устройство основания под трубопроводы щебеночного, м3</t>
  </si>
  <si>
    <t>5.</t>
  </si>
  <si>
    <t>6.</t>
  </si>
  <si>
    <t>Е01-01-033-2
Засыпка траншей и котлованов с перемещением грунта до 5 м бульдозерами мощностью: 59 (80) кВт (л.с.), 2 группа грунтов, 1000 м3</t>
  </si>
  <si>
    <t xml:space="preserve">   Вычт.ресурсы:  Х07-0148:[ ЭМ-(633.41=71.41*8.87), ЗПМ-(124.36=14.02*8.87) ]</t>
  </si>
  <si>
    <t>7.</t>
  </si>
  <si>
    <t>Е47-01-046-4
Подготовка почвы для устройства партерного и обыкновенного газона с внесением растительной земли слоем 15 см: вручную, 100 м2</t>
  </si>
  <si>
    <t>8.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</si>
  <si>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</si>
  <si>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9.</t>
  </si>
  <si>
    <t>С601-9010
Перевозка грузов автомобилями-самосвалами (работающими вне карьеров) на расстояние до 10 км (1-й класс груза), т</t>
  </si>
  <si>
    <t>10.</t>
  </si>
  <si>
    <t>Е65-10-1
Очистка канализационной сети внутренней, 100 м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</si>
  <si>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</si>
  <si>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</si>
  <si>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</si>
  <si>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</si>
  <si>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</si>
  <si>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</si>
  <si>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</si>
  <si>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</si>
  <si>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</si>
  <si>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</si>
  <si>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</si>
  <si>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</si>
  <si>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</si>
  <si>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</si>
  <si>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</si>
  <si>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</si>
  <si>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</si>
  <si>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</si>
  <si>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</si>
  <si>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</si>
  <si>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</si>
  <si>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</si>
  <si>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(%=95 - по стр. 1; %=130 - по стр. 4; %=104 - по стр. 7)</t>
  </si>
  <si>
    <t>.   СМЕТНАЯ ПРИБЫЛЬ - (%=43 - по стр. 1; %=76 - по стр. 4; %=77 - по стр. 7)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</si>
  <si>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</si>
  <si>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</si>
  <si>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</si>
  <si>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</si>
  <si>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</si>
  <si>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(%=115 - по стр. 3, 5; %=103 - по стр. 10)</t>
  </si>
  <si>
    <t>.   СМЕТНАЯ ПРИБЫЛЬ - (%=71 - по стр. 3, 5; %=60 - по стр. 10)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</si>
  <si>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</si>
  <si>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</si>
  <si>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</si>
  <si>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</si>
  <si>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</si>
  <si>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</si>
  <si>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</si>
  <si>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</si>
  <si>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</si>
  <si>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</si>
  <si>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</si>
  <si>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</si>
  <si>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</si>
  <si>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</si>
  <si>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</si>
  <si>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</si>
  <si>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</si>
  <si>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</si>
  <si>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</si>
  <si>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</si>
  <si>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</si>
  <si>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</si>
  <si>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</si>
  <si>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</si>
  <si>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</si>
  <si>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</si>
  <si>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</si>
  <si>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</si>
  <si>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</si>
  <si>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</si>
  <si>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</si>
  <si>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</si>
  <si>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</si>
  <si>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</si>
  <si>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</si>
  <si>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</si>
  <si>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</si>
  <si>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</si>
  <si>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</si>
  <si>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</si>
  <si>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</si>
  <si>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</si>
  <si>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</si>
  <si>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</si>
  <si>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</si>
  <si>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</si>
  <si>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</si>
  <si>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</si>
  <si>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</si>
  <si>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</si>
  <si>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</si>
  <si>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</si>
  <si>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</si>
  <si>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</si>
  <si>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</si>
  <si>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</si>
  <si>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</si>
  <si>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</si>
  <si>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936/10 * 936/10 * 1 &gt;</t>
  </si>
  <si>
    <t xml:space="preserve">          замену канализационного выпуска от дома до колодца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</si>
  <si>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</si>
  <si>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</si>
  <si>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</si>
  <si>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</si>
  <si>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</si>
  <si>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</si>
  <si>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</si>
  <si>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</si>
  <si>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</si>
  <si>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</si>
  <si>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</si>
  <si>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</si>
  <si>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</si>
  <si>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</si>
  <si>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</si>
  <si>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</si>
  <si>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</si>
  <si>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</si>
  <si>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</si>
  <si>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</si>
  <si>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</si>
  <si>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</si>
  <si>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</si>
  <si>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</si>
  <si>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</si>
  <si>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</si>
  <si>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</si>
  <si>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</si>
  <si>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</si>
  <si>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</si>
  <si>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</si>
  <si>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</si>
  <si>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</si>
  <si>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</si>
  <si>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</si>
  <si>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</si>
  <si>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</si>
  <si>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</si>
  <si>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</si>
  <si>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</si>
  <si>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</si>
  <si>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</si>
  <si>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</si>
  <si>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</si>
  <si>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</si>
  <si>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</si>
  <si>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</si>
  <si>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</si>
  <si>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</si>
  <si>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</si>
  <si>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</si>
  <si>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</si>
  <si>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</si>
  <si>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</si>
  <si>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</si>
  <si>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</si>
  <si>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</si>
  <si>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</si>
  <si>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</si>
  <si>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4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</si>
  <si>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</si>
  <si>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</si>
  <si>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</si>
  <si>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</si>
  <si>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</si>
  <si>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</si>
  <si>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</si>
  <si>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</si>
  <si>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</si>
  <si>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</si>
  <si>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</si>
  <si>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</si>
  <si>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</si>
  <si>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</si>
  <si>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</si>
  <si>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</si>
  <si>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</si>
  <si>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</si>
  <si>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</si>
  <si>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</si>
  <si>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</si>
  <si>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</si>
  <si>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</si>
  <si>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</si>
  <si>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</si>
  <si>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</si>
  <si>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</si>
  <si>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</si>
  <si>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</si>
  <si>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</si>
  <si>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</si>
  <si>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</si>
  <si>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</si>
  <si>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</si>
  <si>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</si>
  <si>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</si>
  <si>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</si>
  <si>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</si>
  <si>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</si>
  <si>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</si>
  <si>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</si>
  <si>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</si>
  <si>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</si>
  <si>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</si>
  <si>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</si>
  <si>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</si>
  <si>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</si>
  <si>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</si>
  <si>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</si>
  <si>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</si>
  <si>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</si>
  <si>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</si>
  <si>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</si>
  <si>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</si>
  <si>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</si>
  <si>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</si>
  <si>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</si>
  <si>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</si>
  <si>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</si>
  <si>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</si>
  <si>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</si>
  <si>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</si>
  <si>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</si>
  <si>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</si>
  <si>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</si>
  <si>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</si>
  <si>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</si>
  <si>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</si>
  <si>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</si>
  <si>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</si>
  <si>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</si>
  <si>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</si>
  <si>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</si>
  <si>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</si>
  <si>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</si>
  <si>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</si>
  <si>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</si>
  <si>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</si>
  <si>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</si>
  <si>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</si>
  <si>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</si>
  <si>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</si>
  <si>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</si>
  <si>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</si>
  <si>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</si>
  <si>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</si>
  <si>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</si>
  <si>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</si>
  <si>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</si>
  <si>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</si>
  <si>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</si>
  <si>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</si>
  <si>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</si>
  <si>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</si>
  <si>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</si>
  <si>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</si>
  <si>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</si>
  <si>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</si>
  <si>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</si>
  <si>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</si>
  <si>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(должность, подпись, Ф.И.О)</t>
  </si>
  <si>
    <t>(Локальный сметный расчет)</t>
  </si>
  <si>
    <t xml:space="preserve">   Начисления: Н3(ЭМ)= 1.25, Н4(ЗПМ)= 1.25, Н5(ОЗП)= 1.15</t>
  </si>
  <si>
    <t xml:space="preserve">   Начисления: Н5(ОЗП)= 1.15</t>
  </si>
  <si>
    <t xml:space="preserve">   Начисления: Н3(ЭМ)= 0.4, Н4(ЗПМ)= 0.4, Н5(ОЗП)= 0.4, Н48(М)= 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</si>
</sst>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19" xfId="0" applyNumberForma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14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10.2812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40" t="s">
        <v>1</v>
      </c>
      <c r="B3" s="40"/>
      <c r="C3" s="40"/>
      <c r="D3" s="40"/>
      <c r="F3" s="40" t="s">
        <v>2</v>
      </c>
      <c r="G3" s="40"/>
      <c r="H3" s="40"/>
      <c r="I3" s="40"/>
    </row>
    <row r="4" spans="1:9" ht="10.5" customHeight="1">
      <c r="A4" s="39" t="s">
        <v>3</v>
      </c>
      <c r="B4" s="39"/>
      <c r="C4" s="32" t="e">
        <f>F201</f>
        <v>#NAME?</v>
      </c>
      <c r="D4" s="33" t="s">
        <v>4</v>
      </c>
      <c r="F4" s="39" t="s">
        <v>3</v>
      </c>
      <c r="G4" s="39"/>
      <c r="H4" s="32" t="e">
        <f>F201</f>
        <v>#NAME?</v>
      </c>
      <c r="I4" s="33" t="s">
        <v>4</v>
      </c>
    </row>
    <row r="5" spans="1:9" ht="10.5">
      <c r="A5" s="37"/>
      <c r="B5" s="37"/>
      <c r="C5" s="37"/>
      <c r="D5" s="37"/>
      <c r="F5" s="37"/>
      <c r="G5" s="37"/>
      <c r="H5" s="37"/>
      <c r="I5" s="37"/>
    </row>
    <row r="6" spans="1:9" ht="10.5">
      <c r="A6" s="37"/>
      <c r="B6" s="37"/>
      <c r="C6" s="37"/>
      <c r="D6" s="37"/>
      <c r="F6" s="37"/>
      <c r="G6" s="37"/>
      <c r="H6" s="37"/>
      <c r="I6" s="37"/>
    </row>
    <row r="7" spans="1:9" ht="10.5">
      <c r="A7" s="39" t="s">
        <v>5</v>
      </c>
      <c r="B7" s="39"/>
      <c r="C7" s="39"/>
      <c r="D7" s="39"/>
      <c r="F7" s="39" t="s">
        <v>5</v>
      </c>
      <c r="G7" s="39"/>
      <c r="H7" s="39"/>
      <c r="I7" s="39"/>
    </row>
    <row r="8" spans="1:9" ht="10.5">
      <c r="A8" s="37"/>
      <c r="B8" s="37"/>
      <c r="C8" s="37"/>
      <c r="D8" s="37"/>
      <c r="F8" s="37"/>
      <c r="G8" s="37"/>
      <c r="H8" s="37"/>
      <c r="I8" s="37"/>
    </row>
    <row r="9" spans="1:9" ht="10.5">
      <c r="A9" s="49" t="s">
        <v>318</v>
      </c>
      <c r="B9" s="39"/>
      <c r="C9" s="39"/>
      <c r="D9" s="39"/>
      <c r="F9" s="49" t="s">
        <v>318</v>
      </c>
      <c r="G9" s="39"/>
      <c r="H9" s="39"/>
      <c r="I9" s="39"/>
    </row>
    <row r="12" spans="2:3" ht="10.5">
      <c r="B12" s="5" t="s">
        <v>6</v>
      </c>
      <c r="C12" s="6" t="s">
        <v>7</v>
      </c>
    </row>
    <row r="13" spans="1:10" ht="10.5">
      <c r="A13" s="50" t="s">
        <v>8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0.5">
      <c r="A14" s="51" t="s">
        <v>320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0.5">
      <c r="A15" s="51" t="s">
        <v>9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2:3" ht="10.5">
      <c r="B16" s="5" t="s">
        <v>10</v>
      </c>
      <c r="C16" s="6" t="s">
        <v>11</v>
      </c>
    </row>
    <row r="17" spans="7:10" ht="10.5">
      <c r="G17" s="5" t="s">
        <v>12</v>
      </c>
      <c r="H17" s="35" t="e">
        <f>TEXT((F195)/1000,"# ##0"&amp;GetSeparator()&amp;"000")</f>
        <v>#NAME?</v>
      </c>
      <c r="I17" s="35"/>
      <c r="J17" s="8" t="s">
        <v>13</v>
      </c>
    </row>
    <row r="18" spans="7:10" ht="10.5">
      <c r="G18" s="5" t="s">
        <v>14</v>
      </c>
      <c r="H18" s="35" t="e">
        <f>TEXT((J208)/1000,"# ##0"&amp;GetSeparator()&amp;"000")</f>
        <v>#NAME?</v>
      </c>
      <c r="I18" s="35"/>
      <c r="J18" s="8" t="s">
        <v>15</v>
      </c>
    </row>
    <row r="19" spans="7:10" ht="10.5">
      <c r="G19" s="5" t="s">
        <v>16</v>
      </c>
      <c r="H19" s="35" t="e">
        <f>TEXT((F205)/1000,"# ##0"&amp;GetSeparator()&amp;"000")</f>
        <v>#NAME?</v>
      </c>
      <c r="I19" s="35"/>
      <c r="J19" s="8" t="s">
        <v>13</v>
      </c>
    </row>
    <row r="20" spans="1:10" ht="10.5">
      <c r="A20" s="42" t="s">
        <v>17</v>
      </c>
      <c r="B20" s="42"/>
      <c r="C20" s="42"/>
      <c r="D20" s="42"/>
      <c r="E20" s="42"/>
      <c r="F20" s="42"/>
      <c r="G20" s="42"/>
      <c r="H20" s="42"/>
      <c r="I20" s="42"/>
      <c r="J20" s="42"/>
    </row>
    <row r="21" ht="4.5" customHeight="1"/>
    <row r="22" spans="1:10" ht="43.5" customHeight="1">
      <c r="A22" s="43" t="s">
        <v>18</v>
      </c>
      <c r="B22" s="43" t="s">
        <v>19</v>
      </c>
      <c r="C22" s="43" t="s">
        <v>20</v>
      </c>
      <c r="D22" s="46" t="s">
        <v>21</v>
      </c>
      <c r="E22" s="47"/>
      <c r="F22" s="46" t="s">
        <v>22</v>
      </c>
      <c r="G22" s="48"/>
      <c r="H22" s="47"/>
      <c r="I22" s="46" t="s">
        <v>23</v>
      </c>
      <c r="J22" s="47"/>
    </row>
    <row r="23" spans="1:10" ht="21.75" customHeight="1">
      <c r="A23" s="44"/>
      <c r="B23" s="44"/>
      <c r="C23" s="44"/>
      <c r="D23" s="9" t="s">
        <v>24</v>
      </c>
      <c r="E23" s="9" t="s">
        <v>25</v>
      </c>
      <c r="F23" s="43" t="s">
        <v>24</v>
      </c>
      <c r="G23" s="43" t="s">
        <v>26</v>
      </c>
      <c r="H23" s="9" t="s">
        <v>25</v>
      </c>
      <c r="I23" s="46" t="s">
        <v>27</v>
      </c>
      <c r="J23" s="47"/>
    </row>
    <row r="24" spans="1:10" ht="43.5" customHeight="1">
      <c r="A24" s="45"/>
      <c r="B24" s="45"/>
      <c r="C24" s="45"/>
      <c r="D24" s="9" t="s">
        <v>26</v>
      </c>
      <c r="E24" s="9" t="s">
        <v>28</v>
      </c>
      <c r="F24" s="45"/>
      <c r="G24" s="45"/>
      <c r="H24" s="9" t="s">
        <v>28</v>
      </c>
      <c r="I24" s="9" t="s">
        <v>29</v>
      </c>
      <c r="J24" s="9" t="s">
        <v>24</v>
      </c>
    </row>
    <row r="25" spans="1:10" ht="10.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</row>
    <row r="26" spans="1:14" ht="10.5">
      <c r="A26" s="39" t="s">
        <v>30</v>
      </c>
      <c r="B26" s="40" t="s">
        <v>31</v>
      </c>
      <c r="C26" s="37">
        <v>0.01232</v>
      </c>
      <c r="D26" s="11">
        <f>'Базовые цены за единицу'!B6</f>
        <v>195.37</v>
      </c>
      <c r="E26" s="11"/>
      <c r="F26" s="36">
        <f>'Базовые цены с учетом расхода'!B6</f>
        <v>2.41</v>
      </c>
      <c r="G26" s="36">
        <f>'Базовые цены с учетом расхода'!C6</f>
        <v>2.41</v>
      </c>
      <c r="H26" s="11">
        <f>'Базовые цены с учетом расхода'!D6</f>
        <v>0</v>
      </c>
      <c r="I26" s="13">
        <v>19.8145</v>
      </c>
      <c r="J26" s="13" t="e">
        <f>'Базовые цены с учетом расхода'!I6</f>
        <v>#NAME?</v>
      </c>
      <c r="K26" s="1" t="s">
        <v>32</v>
      </c>
      <c r="L26" s="1" t="s">
        <v>33</v>
      </c>
      <c r="N26" s="36">
        <f>'Базовые цены с учетом расхода'!F6</f>
        <v>0</v>
      </c>
    </row>
    <row r="27" spans="1:14" ht="54.75" customHeight="1">
      <c r="A27" s="37"/>
      <c r="B27" s="37"/>
      <c r="C27" s="37"/>
      <c r="D27" s="12">
        <v>195.37</v>
      </c>
      <c r="E27" s="12"/>
      <c r="F27" s="36"/>
      <c r="G27" s="36"/>
      <c r="H27" s="12">
        <f>'Базовые цены с учетом расхода'!E6</f>
        <v>0</v>
      </c>
      <c r="J27" s="1" t="e">
        <f>'Базовые цены с учетом расхода'!K6</f>
        <v>#NAME?</v>
      </c>
      <c r="K27" s="1" t="s">
        <v>34</v>
      </c>
      <c r="L27" s="1" t="s">
        <v>35</v>
      </c>
      <c r="N27" s="36"/>
    </row>
    <row r="28" spans="2:10" ht="10.5">
      <c r="B28" s="41" t="s">
        <v>36</v>
      </c>
      <c r="C28" s="41"/>
      <c r="D28" s="41"/>
      <c r="E28" s="41"/>
      <c r="F28" s="41"/>
      <c r="G28" s="41"/>
      <c r="H28" s="41"/>
      <c r="I28" s="41"/>
      <c r="J28" s="41"/>
    </row>
    <row r="29" spans="2:10" ht="10.5">
      <c r="B29" s="41" t="s">
        <v>322</v>
      </c>
      <c r="C29" s="41"/>
      <c r="D29" s="41"/>
      <c r="E29" s="41"/>
      <c r="F29" s="41"/>
      <c r="G29" s="41"/>
      <c r="H29" s="41"/>
      <c r="I29" s="41"/>
      <c r="J29" s="41"/>
    </row>
    <row r="30" spans="2:12" ht="10.5" hidden="1">
      <c r="B30" s="14" t="s">
        <v>37</v>
      </c>
      <c r="C30" s="1">
        <v>95</v>
      </c>
      <c r="F30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2.29</v>
      </c>
      <c r="L30" s="4" t="s">
        <v>38</v>
      </c>
    </row>
    <row r="31" spans="2:12" ht="10.5" hidden="1">
      <c r="B31" s="14" t="s">
        <v>39</v>
      </c>
      <c r="F31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2.29</v>
      </c>
      <c r="L31" s="4" t="s">
        <v>40</v>
      </c>
    </row>
    <row r="32" spans="2:12" ht="10.5" hidden="1">
      <c r="B32" s="14" t="s">
        <v>41</v>
      </c>
      <c r="F32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2.29</v>
      </c>
      <c r="L32" s="4" t="s">
        <v>42</v>
      </c>
    </row>
    <row r="33" spans="2:12" ht="10.5" hidden="1">
      <c r="B33" s="14" t="s">
        <v>43</v>
      </c>
      <c r="C33" s="1">
        <v>43</v>
      </c>
      <c r="F33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1.04</v>
      </c>
      <c r="L33" s="4" t="s">
        <v>44</v>
      </c>
    </row>
    <row r="34" spans="2:12" ht="10.5" hidden="1">
      <c r="B34" s="14" t="s">
        <v>45</v>
      </c>
      <c r="F34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1.04</v>
      </c>
      <c r="L34" s="4" t="s">
        <v>46</v>
      </c>
    </row>
    <row r="35" spans="2:12" ht="10.5" hidden="1">
      <c r="B35" s="14" t="s">
        <v>47</v>
      </c>
      <c r="F35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1.04</v>
      </c>
      <c r="L35" s="4" t="s">
        <v>48</v>
      </c>
    </row>
    <row r="36" spans="1:10" ht="10.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4" ht="10.5">
      <c r="A37" s="39" t="s">
        <v>49</v>
      </c>
      <c r="B37" s="40" t="s">
        <v>50</v>
      </c>
      <c r="C37" s="37">
        <v>6</v>
      </c>
      <c r="D37" s="11">
        <f>'Базовые цены за единицу'!B7</f>
        <v>294.77</v>
      </c>
      <c r="E37" s="11"/>
      <c r="F37" s="36">
        <f>'Базовые цены с учетом расхода'!B7</f>
        <v>1768.62</v>
      </c>
      <c r="G37" s="36">
        <f>'Базовые цены с учетом расхода'!C7</f>
        <v>0</v>
      </c>
      <c r="H37" s="11">
        <f>'Базовые цены с учетом расхода'!D7</f>
        <v>0</v>
      </c>
      <c r="I37" s="13"/>
      <c r="J37" s="13" t="e">
        <f>'Базовые цены с учетом расхода'!I7</f>
        <v>#NAME?</v>
      </c>
      <c r="K37" s="1" t="s">
        <v>32</v>
      </c>
      <c r="L37" s="1" t="s">
        <v>33</v>
      </c>
      <c r="N37" s="36">
        <f>'Базовые цены с учетом расхода'!F7</f>
        <v>1768.62</v>
      </c>
    </row>
    <row r="38" spans="1:14" ht="21.75" customHeight="1">
      <c r="A38" s="37"/>
      <c r="B38" s="37"/>
      <c r="C38" s="37"/>
      <c r="D38" s="12"/>
      <c r="E38" s="12"/>
      <c r="F38" s="36"/>
      <c r="G38" s="36"/>
      <c r="H38" s="12">
        <f>'Базовые цены с учетом расхода'!E7</f>
        <v>0</v>
      </c>
      <c r="J38" s="1" t="e">
        <f>'Базовые цены с учетом расхода'!K7</f>
        <v>#NAME?</v>
      </c>
      <c r="K38" s="1" t="s">
        <v>34</v>
      </c>
      <c r="L38" s="1" t="s">
        <v>35</v>
      </c>
      <c r="N38" s="36"/>
    </row>
    <row r="39" spans="2:10" ht="10.5">
      <c r="B39" s="41" t="s">
        <v>51</v>
      </c>
      <c r="C39" s="41"/>
      <c r="D39" s="41"/>
      <c r="E39" s="41"/>
      <c r="F39" s="41"/>
      <c r="G39" s="41"/>
      <c r="H39" s="41"/>
      <c r="I39" s="41"/>
      <c r="J39" s="41"/>
    </row>
    <row r="40" spans="2:12" ht="10.5" hidden="1">
      <c r="B40" s="14" t="s">
        <v>37</v>
      </c>
      <c r="C40" s="1">
        <v>0</v>
      </c>
      <c r="F40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0" s="4" t="s">
        <v>38</v>
      </c>
    </row>
    <row r="41" spans="2:12" ht="10.5" hidden="1">
      <c r="B41" s="14" t="s">
        <v>39</v>
      </c>
      <c r="F41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1" s="4" t="s">
        <v>40</v>
      </c>
    </row>
    <row r="42" spans="2:12" ht="10.5" hidden="1">
      <c r="B42" s="14" t="s">
        <v>41</v>
      </c>
      <c r="F42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2" s="4" t="s">
        <v>42</v>
      </c>
    </row>
    <row r="43" spans="2:12" ht="10.5" hidden="1">
      <c r="B43" s="14" t="s">
        <v>43</v>
      </c>
      <c r="C43" s="1">
        <v>0</v>
      </c>
      <c r="F43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3" s="4" t="s">
        <v>44</v>
      </c>
    </row>
    <row r="44" spans="2:12" ht="10.5" hidden="1">
      <c r="B44" s="14" t="s">
        <v>45</v>
      </c>
      <c r="F44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4" s="4" t="s">
        <v>46</v>
      </c>
    </row>
    <row r="45" spans="2:12" ht="10.5" hidden="1">
      <c r="B45" s="14" t="s">
        <v>47</v>
      </c>
      <c r="F45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5" s="4" t="s">
        <v>48</v>
      </c>
    </row>
    <row r="46" spans="1:10" ht="10.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4" ht="10.5">
      <c r="A47" s="39" t="s">
        <v>52</v>
      </c>
      <c r="B47" s="40" t="s">
        <v>53</v>
      </c>
      <c r="C47" s="37">
        <v>3.6</v>
      </c>
      <c r="D47" s="11">
        <f>'Базовые цены за единицу'!B8</f>
        <v>4.1</v>
      </c>
      <c r="E47" s="11">
        <v>0.55</v>
      </c>
      <c r="F47" s="36">
        <f>'Базовые цены с учетом расхода'!B8</f>
        <v>14.76</v>
      </c>
      <c r="G47" s="36">
        <f>'Базовые цены с учетом расхода'!C8</f>
        <v>12.78</v>
      </c>
      <c r="H47" s="11">
        <f>'Базовые цены с учетом расхода'!D8</f>
        <v>1.98</v>
      </c>
      <c r="I47" s="13">
        <v>0.3052</v>
      </c>
      <c r="J47" s="13" t="e">
        <f>'Базовые цены с учетом расхода'!I8</f>
        <v>#NAME?</v>
      </c>
      <c r="K47" s="1" t="s">
        <v>32</v>
      </c>
      <c r="L47" s="1" t="s">
        <v>33</v>
      </c>
      <c r="N47" s="36">
        <f>'Базовые цены с учетом расхода'!F8</f>
        <v>0</v>
      </c>
    </row>
    <row r="48" spans="1:14" ht="43.5" customHeight="1">
      <c r="A48" s="37"/>
      <c r="B48" s="37"/>
      <c r="C48" s="37"/>
      <c r="D48" s="12">
        <v>3.55</v>
      </c>
      <c r="E48" s="12">
        <v>0.02</v>
      </c>
      <c r="F48" s="36"/>
      <c r="G48" s="36"/>
      <c r="H48" s="12">
        <f>'Базовые цены с учетом расхода'!E8</f>
        <v>0.07</v>
      </c>
      <c r="I48" s="1">
        <v>0.00088</v>
      </c>
      <c r="J48" s="1" t="e">
        <f>'Базовые цены с учетом расхода'!K8</f>
        <v>#NAME?</v>
      </c>
      <c r="K48" s="1" t="s">
        <v>34</v>
      </c>
      <c r="L48" s="1" t="s">
        <v>35</v>
      </c>
      <c r="N48" s="36"/>
    </row>
    <row r="49" spans="2:10" ht="10.5">
      <c r="B49" s="41" t="s">
        <v>323</v>
      </c>
      <c r="C49" s="41"/>
      <c r="D49" s="41"/>
      <c r="E49" s="41"/>
      <c r="F49" s="41"/>
      <c r="G49" s="41"/>
      <c r="H49" s="41"/>
      <c r="I49" s="41"/>
      <c r="J49" s="41"/>
    </row>
    <row r="50" spans="2:12" ht="10.5" hidden="1">
      <c r="B50" s="14" t="s">
        <v>37</v>
      </c>
      <c r="C50" s="1">
        <v>115</v>
      </c>
      <c r="F50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14.78</v>
      </c>
      <c r="L50" s="4" t="s">
        <v>38</v>
      </c>
    </row>
    <row r="51" spans="2:12" ht="10.5" hidden="1">
      <c r="B51" s="14" t="s">
        <v>39</v>
      </c>
      <c r="F51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14.78</v>
      </c>
      <c r="L51" s="4" t="s">
        <v>40</v>
      </c>
    </row>
    <row r="52" spans="2:12" ht="10.5" hidden="1">
      <c r="B52" s="14" t="s">
        <v>41</v>
      </c>
      <c r="F52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14.78</v>
      </c>
      <c r="L52" s="4" t="s">
        <v>42</v>
      </c>
    </row>
    <row r="53" spans="2:12" ht="10.5" hidden="1">
      <c r="B53" s="14" t="s">
        <v>43</v>
      </c>
      <c r="C53" s="1">
        <v>71</v>
      </c>
      <c r="F53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9.12</v>
      </c>
      <c r="L53" s="4" t="s">
        <v>44</v>
      </c>
    </row>
    <row r="54" spans="2:12" ht="10.5" hidden="1">
      <c r="B54" s="14" t="s">
        <v>45</v>
      </c>
      <c r="F54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9.12</v>
      </c>
      <c r="L54" s="4" t="s">
        <v>46</v>
      </c>
    </row>
    <row r="55" spans="2:12" ht="10.5" hidden="1">
      <c r="B55" s="14" t="s">
        <v>47</v>
      </c>
      <c r="F55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9.12</v>
      </c>
      <c r="L55" s="4" t="s">
        <v>48</v>
      </c>
    </row>
    <row r="56" spans="1:10" ht="10.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4" ht="10.5">
      <c r="A57" s="39" t="s">
        <v>54</v>
      </c>
      <c r="B57" s="40" t="s">
        <v>55</v>
      </c>
      <c r="C57" s="37">
        <v>0.56</v>
      </c>
      <c r="D57" s="11">
        <f>'Базовые цены за единицу'!B9</f>
        <v>175.47</v>
      </c>
      <c r="E57" s="11">
        <v>7.11</v>
      </c>
      <c r="F57" s="36">
        <f>'Базовые цены с учетом расхода'!B9</f>
        <v>98.26</v>
      </c>
      <c r="G57" s="36">
        <f>'Базовые цены с учетом расхода'!C9</f>
        <v>6.78</v>
      </c>
      <c r="H57" s="11">
        <f>'Базовые цены с учетом расхода'!D9</f>
        <v>3.98</v>
      </c>
      <c r="I57" s="13">
        <v>1.173</v>
      </c>
      <c r="J57" s="13" t="e">
        <f>'Базовые цены с учетом расхода'!I9</f>
        <v>#NAME?</v>
      </c>
      <c r="K57" s="1" t="s">
        <v>32</v>
      </c>
      <c r="L57" s="1" t="s">
        <v>33</v>
      </c>
      <c r="N57" s="36">
        <f>'Базовые цены с учетом расхода'!F9</f>
        <v>87.5</v>
      </c>
    </row>
    <row r="58" spans="1:14" ht="21.75" customHeight="1">
      <c r="A58" s="37"/>
      <c r="B58" s="37"/>
      <c r="C58" s="37"/>
      <c r="D58" s="12">
        <v>12.11</v>
      </c>
      <c r="E58" s="12">
        <v>0.78</v>
      </c>
      <c r="F58" s="36"/>
      <c r="G58" s="36"/>
      <c r="H58" s="12">
        <f>'Базовые цены с учетом расхода'!E9</f>
        <v>0.44</v>
      </c>
      <c r="I58" s="1">
        <v>0.06375</v>
      </c>
      <c r="J58" s="1" t="e">
        <f>'Базовые цены с учетом расхода'!K9</f>
        <v>#NAME?</v>
      </c>
      <c r="K58" s="1" t="s">
        <v>34</v>
      </c>
      <c r="L58" s="1" t="s">
        <v>35</v>
      </c>
      <c r="N58" s="36"/>
    </row>
    <row r="59" spans="2:10" ht="10.5">
      <c r="B59" s="41" t="s">
        <v>321</v>
      </c>
      <c r="C59" s="41"/>
      <c r="D59" s="41"/>
      <c r="E59" s="41"/>
      <c r="F59" s="41"/>
      <c r="G59" s="41"/>
      <c r="H59" s="41"/>
      <c r="I59" s="41"/>
      <c r="J59" s="41"/>
    </row>
    <row r="60" spans="2:12" ht="10.5" hidden="1">
      <c r="B60" s="14" t="s">
        <v>37</v>
      </c>
      <c r="C60" s="1">
        <v>130</v>
      </c>
      <c r="F60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9.39</v>
      </c>
      <c r="L60" s="4" t="s">
        <v>38</v>
      </c>
    </row>
    <row r="61" spans="2:12" ht="10.5" hidden="1">
      <c r="B61" s="14" t="s">
        <v>39</v>
      </c>
      <c r="F61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9.39</v>
      </c>
      <c r="L61" s="4" t="s">
        <v>40</v>
      </c>
    </row>
    <row r="62" spans="2:12" ht="10.5" hidden="1">
      <c r="B62" s="14" t="s">
        <v>41</v>
      </c>
      <c r="F62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9.39</v>
      </c>
      <c r="L62" s="4" t="s">
        <v>42</v>
      </c>
    </row>
    <row r="63" spans="2:12" ht="10.5" hidden="1">
      <c r="B63" s="14" t="s">
        <v>43</v>
      </c>
      <c r="C63" s="1">
        <v>76</v>
      </c>
      <c r="F63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5.49</v>
      </c>
      <c r="L63" s="4" t="s">
        <v>44</v>
      </c>
    </row>
    <row r="64" spans="2:12" ht="10.5" hidden="1">
      <c r="B64" s="14" t="s">
        <v>45</v>
      </c>
      <c r="F64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5.49</v>
      </c>
      <c r="L64" s="4" t="s">
        <v>46</v>
      </c>
    </row>
    <row r="65" spans="2:12" ht="10.5" hidden="1">
      <c r="B65" s="14" t="s">
        <v>47</v>
      </c>
      <c r="F65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5.49</v>
      </c>
      <c r="L65" s="4" t="s">
        <v>48</v>
      </c>
    </row>
    <row r="66" spans="1:10" ht="10.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4" ht="10.5">
      <c r="A67" s="39" t="s">
        <v>56</v>
      </c>
      <c r="B67" s="40" t="s">
        <v>53</v>
      </c>
      <c r="C67" s="37">
        <v>3.6</v>
      </c>
      <c r="D67" s="11">
        <f>'Базовые цены за единицу'!B10</f>
        <v>107.07</v>
      </c>
      <c r="E67" s="11">
        <v>1.73</v>
      </c>
      <c r="F67" s="36">
        <f>'Базовые цены с учетом расхода'!B10</f>
        <v>385.45</v>
      </c>
      <c r="G67" s="36">
        <f>'Базовые цены с учетом расхода'!C10</f>
        <v>36.72</v>
      </c>
      <c r="H67" s="11">
        <f>'Базовые цены с учетом расхода'!D10</f>
        <v>6.23</v>
      </c>
      <c r="I67" s="13">
        <v>0.87745</v>
      </c>
      <c r="J67" s="13" t="e">
        <f>'Базовые цены с учетом расхода'!I10</f>
        <v>#NAME?</v>
      </c>
      <c r="K67" s="1" t="s">
        <v>32</v>
      </c>
      <c r="L67" s="1" t="s">
        <v>33</v>
      </c>
      <c r="N67" s="36">
        <f>'Базовые цены с учетом расхода'!F10</f>
        <v>342.5</v>
      </c>
    </row>
    <row r="68" spans="1:14" ht="43.5" customHeight="1">
      <c r="A68" s="37"/>
      <c r="B68" s="37"/>
      <c r="C68" s="37"/>
      <c r="D68" s="12">
        <v>10.2</v>
      </c>
      <c r="E68" s="12">
        <v>0.05</v>
      </c>
      <c r="F68" s="36"/>
      <c r="G68" s="36"/>
      <c r="H68" s="12">
        <f>'Базовые цены с учетом расхода'!E10</f>
        <v>0.18</v>
      </c>
      <c r="I68" s="1">
        <v>0.00275</v>
      </c>
      <c r="J68" s="1" t="e">
        <f>'Базовые цены с учетом расхода'!K10</f>
        <v>#NAME?</v>
      </c>
      <c r="K68" s="1" t="s">
        <v>34</v>
      </c>
      <c r="L68" s="1" t="s">
        <v>35</v>
      </c>
      <c r="N68" s="36"/>
    </row>
    <row r="69" spans="2:10" ht="10.5">
      <c r="B69" s="41" t="s">
        <v>321</v>
      </c>
      <c r="C69" s="41"/>
      <c r="D69" s="41"/>
      <c r="E69" s="41"/>
      <c r="F69" s="41"/>
      <c r="G69" s="41"/>
      <c r="H69" s="41"/>
      <c r="I69" s="41"/>
      <c r="J69" s="41"/>
    </row>
    <row r="70" spans="2:12" ht="10.5" hidden="1">
      <c r="B70" s="14" t="s">
        <v>37</v>
      </c>
      <c r="C70" s="1">
        <v>115</v>
      </c>
      <c r="F70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42.44</v>
      </c>
      <c r="L70" s="4" t="s">
        <v>38</v>
      </c>
    </row>
    <row r="71" spans="2:12" ht="10.5" hidden="1">
      <c r="B71" s="14" t="s">
        <v>39</v>
      </c>
      <c r="F71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42.44</v>
      </c>
      <c r="L71" s="4" t="s">
        <v>40</v>
      </c>
    </row>
    <row r="72" spans="2:12" ht="10.5" hidden="1">
      <c r="B72" s="14" t="s">
        <v>41</v>
      </c>
      <c r="F72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42.44</v>
      </c>
      <c r="L72" s="4" t="s">
        <v>42</v>
      </c>
    </row>
    <row r="73" spans="2:12" ht="10.5" hidden="1">
      <c r="B73" s="14" t="s">
        <v>43</v>
      </c>
      <c r="C73" s="1">
        <v>71</v>
      </c>
      <c r="F73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26.2</v>
      </c>
      <c r="L73" s="4" t="s">
        <v>44</v>
      </c>
    </row>
    <row r="74" spans="2:12" ht="10.5" hidden="1">
      <c r="B74" s="14" t="s">
        <v>45</v>
      </c>
      <c r="F74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26.2</v>
      </c>
      <c r="L74" s="4" t="s">
        <v>46</v>
      </c>
    </row>
    <row r="75" spans="2:12" ht="10.5" hidden="1">
      <c r="B75" s="14" t="s">
        <v>47</v>
      </c>
      <c r="F75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26.2</v>
      </c>
      <c r="L75" s="4" t="s">
        <v>48</v>
      </c>
    </row>
    <row r="76" spans="1:10" ht="10.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4" ht="10.5">
      <c r="A77" s="39" t="s">
        <v>57</v>
      </c>
      <c r="B77" s="40" t="s">
        <v>58</v>
      </c>
      <c r="C77" s="37">
        <v>0.01232</v>
      </c>
      <c r="D77" s="11">
        <f>'Базовые цены за единицу'!B11</f>
        <v>0</v>
      </c>
      <c r="E77" s="11"/>
      <c r="F77" s="36">
        <f>'Базовые цены с учетом расхода'!B11</f>
        <v>0</v>
      </c>
      <c r="G77" s="36">
        <f>'Базовые цены с учетом расхода'!C11</f>
        <v>0</v>
      </c>
      <c r="H77" s="11">
        <f>'Базовые цены с учетом расхода'!D11</f>
        <v>0</v>
      </c>
      <c r="I77" s="13"/>
      <c r="J77" s="13" t="e">
        <f>'Базовые цены с учетом расхода'!I11</f>
        <v>#NAME?</v>
      </c>
      <c r="K77" s="1" t="s">
        <v>32</v>
      </c>
      <c r="L77" s="1" t="s">
        <v>33</v>
      </c>
      <c r="N77" s="36">
        <f>'Базовые цены с учетом расхода'!F11</f>
        <v>0</v>
      </c>
    </row>
    <row r="78" spans="1:14" ht="54.75" customHeight="1">
      <c r="A78" s="37"/>
      <c r="B78" s="37"/>
      <c r="C78" s="37"/>
      <c r="D78" s="12"/>
      <c r="E78" s="12"/>
      <c r="F78" s="36"/>
      <c r="G78" s="36"/>
      <c r="H78" s="12">
        <f>'Базовые цены с учетом расхода'!E11</f>
        <v>0</v>
      </c>
      <c r="J78" s="1" t="e">
        <f>'Базовые цены с учетом расхода'!K11</f>
        <v>#NAME?</v>
      </c>
      <c r="K78" s="1" t="s">
        <v>34</v>
      </c>
      <c r="L78" s="1" t="s">
        <v>35</v>
      </c>
      <c r="N78" s="36"/>
    </row>
    <row r="79" spans="2:10" ht="10.5">
      <c r="B79" s="41" t="s">
        <v>59</v>
      </c>
      <c r="C79" s="41"/>
      <c r="D79" s="41"/>
      <c r="E79" s="41"/>
      <c r="F79" s="41"/>
      <c r="G79" s="41"/>
      <c r="H79" s="41"/>
      <c r="I79" s="41"/>
      <c r="J79" s="41"/>
    </row>
    <row r="80" spans="2:12" ht="10.5" hidden="1">
      <c r="B80" s="14" t="s">
        <v>37</v>
      </c>
      <c r="C80" s="1">
        <v>95</v>
      </c>
      <c r="F80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80" s="4" t="s">
        <v>38</v>
      </c>
    </row>
    <row r="81" spans="2:12" ht="10.5" hidden="1">
      <c r="B81" s="14" t="s">
        <v>39</v>
      </c>
      <c r="F81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81" s="4" t="s">
        <v>40</v>
      </c>
    </row>
    <row r="82" spans="2:12" ht="10.5" hidden="1">
      <c r="B82" s="14" t="s">
        <v>41</v>
      </c>
      <c r="F82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82" s="4" t="s">
        <v>42</v>
      </c>
    </row>
    <row r="83" spans="2:12" ht="10.5" hidden="1">
      <c r="B83" s="14" t="s">
        <v>43</v>
      </c>
      <c r="C83" s="1">
        <v>43</v>
      </c>
      <c r="F83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3" s="4" t="s">
        <v>44</v>
      </c>
    </row>
    <row r="84" spans="2:12" ht="10.5" hidden="1">
      <c r="B84" s="14" t="s">
        <v>45</v>
      </c>
      <c r="F84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4" s="4" t="s">
        <v>46</v>
      </c>
    </row>
    <row r="85" spans="2:12" ht="10.5" hidden="1">
      <c r="B85" s="14" t="s">
        <v>47</v>
      </c>
      <c r="F85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5" s="4" t="s">
        <v>48</v>
      </c>
    </row>
    <row r="86" spans="1:10" ht="10.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4" ht="10.5">
      <c r="A87" s="39" t="s">
        <v>60</v>
      </c>
      <c r="B87" s="40" t="s">
        <v>61</v>
      </c>
      <c r="C87" s="37">
        <v>0.3375</v>
      </c>
      <c r="D87" s="11">
        <f>'Базовые цены за единицу'!B12</f>
        <v>1617</v>
      </c>
      <c r="E87" s="11"/>
      <c r="F87" s="36">
        <f>'Базовые цены с учетом расхода'!B12</f>
        <v>545.74</v>
      </c>
      <c r="G87" s="36">
        <f>'Базовые цены с учетом расхода'!C12</f>
        <v>135.68</v>
      </c>
      <c r="H87" s="11">
        <f>'Базовые цены с учетом расхода'!D12</f>
        <v>0</v>
      </c>
      <c r="I87" s="13">
        <v>40</v>
      </c>
      <c r="J87" s="13" t="e">
        <f>'Базовые цены с учетом расхода'!I12</f>
        <v>#NAME?</v>
      </c>
      <c r="K87" s="1" t="s">
        <v>32</v>
      </c>
      <c r="L87" s="1" t="s">
        <v>33</v>
      </c>
      <c r="N87" s="36">
        <f>'Базовые цены с учетом расхода'!F12</f>
        <v>410.06</v>
      </c>
    </row>
    <row r="88" spans="1:14" ht="54.75" customHeight="1">
      <c r="A88" s="37"/>
      <c r="B88" s="37"/>
      <c r="C88" s="37"/>
      <c r="D88" s="12">
        <v>402</v>
      </c>
      <c r="E88" s="12"/>
      <c r="F88" s="36"/>
      <c r="G88" s="36"/>
      <c r="H88" s="12">
        <f>'Базовые цены с учетом расхода'!E12</f>
        <v>0</v>
      </c>
      <c r="J88" s="1" t="e">
        <f>'Базовые цены с учетом расхода'!K12</f>
        <v>#NAME?</v>
      </c>
      <c r="K88" s="1" t="s">
        <v>34</v>
      </c>
      <c r="L88" s="1" t="s">
        <v>35</v>
      </c>
      <c r="N88" s="36"/>
    </row>
    <row r="89" spans="2:12" ht="10.5" hidden="1">
      <c r="B89" s="14" t="s">
        <v>37</v>
      </c>
      <c r="C89" s="1">
        <v>104</v>
      </c>
      <c r="F89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141.11</v>
      </c>
      <c r="L89" s="4" t="s">
        <v>38</v>
      </c>
    </row>
    <row r="90" spans="2:12" ht="10.5" hidden="1">
      <c r="B90" s="14" t="s">
        <v>39</v>
      </c>
      <c r="F90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141.11</v>
      </c>
      <c r="L90" s="4" t="s">
        <v>40</v>
      </c>
    </row>
    <row r="91" spans="2:12" ht="10.5" hidden="1">
      <c r="B91" s="14" t="s">
        <v>41</v>
      </c>
      <c r="F91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141.11</v>
      </c>
      <c r="L91" s="4" t="s">
        <v>42</v>
      </c>
    </row>
    <row r="92" spans="2:12" ht="10.5" hidden="1">
      <c r="B92" s="14" t="s">
        <v>43</v>
      </c>
      <c r="C92" s="1">
        <v>77</v>
      </c>
      <c r="F92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104.47</v>
      </c>
      <c r="L92" s="4" t="s">
        <v>44</v>
      </c>
    </row>
    <row r="93" spans="2:12" ht="10.5" hidden="1">
      <c r="B93" s="14" t="s">
        <v>45</v>
      </c>
      <c r="F93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104.47</v>
      </c>
      <c r="L93" s="4" t="s">
        <v>46</v>
      </c>
    </row>
    <row r="94" spans="2:12" ht="10.5" hidden="1">
      <c r="B94" s="14" t="s">
        <v>47</v>
      </c>
      <c r="F94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104.47</v>
      </c>
      <c r="L94" s="4" t="s">
        <v>48</v>
      </c>
    </row>
    <row r="95" spans="1:10" ht="10.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4" ht="10.5">
      <c r="A96" s="39" t="s">
        <v>62</v>
      </c>
      <c r="B96" s="40" t="s">
        <v>63</v>
      </c>
      <c r="C96" s="37">
        <v>0.045</v>
      </c>
      <c r="D96" s="11">
        <f>'Базовые цены за единицу'!B13</f>
        <v>56.6</v>
      </c>
      <c r="E96" s="11">
        <v>56.6</v>
      </c>
      <c r="F96" s="36">
        <f>'Базовые цены с учетом расхода'!B13</f>
        <v>2.55</v>
      </c>
      <c r="G96" s="36">
        <f>'Базовые цены с учетом расхода'!C13</f>
        <v>0</v>
      </c>
      <c r="H96" s="11">
        <f>'Базовые цены с учетом расхода'!D13</f>
        <v>2.55</v>
      </c>
      <c r="I96" s="13"/>
      <c r="J96" s="13" t="e">
        <f>'Базовые цены с учетом расхода'!I13</f>
        <v>#NAME?</v>
      </c>
      <c r="K96" s="1" t="s">
        <v>32</v>
      </c>
      <c r="L96" s="1" t="s">
        <v>33</v>
      </c>
      <c r="N96" s="36">
        <f>'Базовые цены с учетом расхода'!F13</f>
        <v>0</v>
      </c>
    </row>
    <row r="97" spans="1:14" ht="54.75" customHeight="1">
      <c r="A97" s="37"/>
      <c r="B97" s="37"/>
      <c r="C97" s="37"/>
      <c r="D97" s="12"/>
      <c r="E97" s="12"/>
      <c r="F97" s="36"/>
      <c r="G97" s="36"/>
      <c r="H97" s="12">
        <f>'Базовые цены с учетом расхода'!E13</f>
        <v>0</v>
      </c>
      <c r="J97" s="1" t="e">
        <f>'Базовые цены с учетом расхода'!K13</f>
        <v>#NAME?</v>
      </c>
      <c r="K97" s="1" t="s">
        <v>34</v>
      </c>
      <c r="L97" s="1" t="s">
        <v>35</v>
      </c>
      <c r="N97" s="36"/>
    </row>
    <row r="98" spans="2:12" ht="10.5" hidden="1">
      <c r="B98" s="14" t="s">
        <v>37</v>
      </c>
      <c r="C98" s="1">
        <v>0</v>
      </c>
      <c r="F98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8" s="4" t="s">
        <v>38</v>
      </c>
    </row>
    <row r="99" spans="2:12" ht="10.5" hidden="1">
      <c r="B99" s="14" t="s">
        <v>39</v>
      </c>
      <c r="F99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9" s="4" t="s">
        <v>40</v>
      </c>
    </row>
    <row r="100" spans="2:12" ht="10.5" hidden="1">
      <c r="B100" s="14" t="s">
        <v>41</v>
      </c>
      <c r="F100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100" s="4" t="s">
        <v>42</v>
      </c>
    </row>
    <row r="101" spans="2:12" ht="10.5" hidden="1">
      <c r="B101" s="14" t="s">
        <v>43</v>
      </c>
      <c r="C101" s="1">
        <v>0</v>
      </c>
      <c r="F101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01" s="4" t="s">
        <v>44</v>
      </c>
    </row>
    <row r="102" spans="2:12" ht="10.5" hidden="1">
      <c r="B102" s="14" t="s">
        <v>45</v>
      </c>
      <c r="F102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02" s="4" t="s">
        <v>46</v>
      </c>
    </row>
    <row r="103" spans="2:12" ht="10.5" hidden="1">
      <c r="B103" s="14" t="s">
        <v>47</v>
      </c>
      <c r="F103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03" s="4" t="s">
        <v>48</v>
      </c>
    </row>
    <row r="104" spans="1:10" ht="10.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4" ht="10.5">
      <c r="A105" s="39" t="s">
        <v>64</v>
      </c>
      <c r="B105" s="40" t="s">
        <v>65</v>
      </c>
      <c r="C105" s="37">
        <v>0.045</v>
      </c>
      <c r="D105" s="11">
        <f>'Базовые цены за единицу'!B14</f>
        <v>17.99</v>
      </c>
      <c r="E105" s="11"/>
      <c r="F105" s="36">
        <f>'Базовые цены с учетом расхода'!B14</f>
        <v>0.81</v>
      </c>
      <c r="G105" s="36">
        <f>'Базовые цены с учетом расхода'!C14</f>
        <v>0</v>
      </c>
      <c r="H105" s="11">
        <f>'Базовые цены с учетом расхода'!D14</f>
        <v>0</v>
      </c>
      <c r="I105" s="13"/>
      <c r="J105" s="13" t="e">
        <f>'Базовые цены с учетом расхода'!I14</f>
        <v>#NAME?</v>
      </c>
      <c r="K105" s="1" t="s">
        <v>32</v>
      </c>
      <c r="L105" s="1" t="s">
        <v>33</v>
      </c>
      <c r="N105" s="36">
        <f>'Базовые цены с учетом расхода'!F14</f>
        <v>0.81</v>
      </c>
    </row>
    <row r="106" spans="1:14" ht="54.75" customHeight="1">
      <c r="A106" s="37"/>
      <c r="B106" s="37"/>
      <c r="C106" s="37"/>
      <c r="D106" s="12"/>
      <c r="E106" s="12"/>
      <c r="F106" s="36"/>
      <c r="G106" s="36"/>
      <c r="H106" s="12">
        <f>'Базовые цены с учетом расхода'!E14</f>
        <v>0</v>
      </c>
      <c r="J106" s="1" t="e">
        <f>'Базовые цены с учетом расхода'!K14</f>
        <v>#NAME?</v>
      </c>
      <c r="K106" s="1" t="s">
        <v>34</v>
      </c>
      <c r="L106" s="1" t="s">
        <v>35</v>
      </c>
      <c r="N106" s="36"/>
    </row>
    <row r="107" spans="2:12" ht="10.5" hidden="1">
      <c r="B107" s="14" t="s">
        <v>37</v>
      </c>
      <c r="C107" s="1">
        <v>0</v>
      </c>
      <c r="F107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107" s="4" t="s">
        <v>38</v>
      </c>
    </row>
    <row r="108" spans="2:12" ht="10.5" hidden="1">
      <c r="B108" s="14" t="s">
        <v>39</v>
      </c>
      <c r="F108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108" s="4" t="s">
        <v>40</v>
      </c>
    </row>
    <row r="109" spans="2:12" ht="10.5" hidden="1">
      <c r="B109" s="14" t="s">
        <v>41</v>
      </c>
      <c r="F109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109" s="4" t="s">
        <v>42</v>
      </c>
    </row>
    <row r="110" spans="2:12" ht="10.5" hidden="1">
      <c r="B110" s="14" t="s">
        <v>43</v>
      </c>
      <c r="C110" s="1">
        <v>0</v>
      </c>
      <c r="F110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110" s="4" t="s">
        <v>44</v>
      </c>
    </row>
    <row r="111" spans="2:12" ht="10.5" hidden="1">
      <c r="B111" s="14" t="s">
        <v>45</v>
      </c>
      <c r="F111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111" s="4" t="s">
        <v>46</v>
      </c>
    </row>
    <row r="112" spans="2:12" ht="10.5" hidden="1">
      <c r="B112" s="14" t="s">
        <v>47</v>
      </c>
      <c r="F112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112" s="4" t="s">
        <v>48</v>
      </c>
    </row>
    <row r="113" spans="1:10" ht="10.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4" ht="10.5">
      <c r="A114" s="39" t="s">
        <v>66</v>
      </c>
      <c r="B114" s="40" t="s">
        <v>67</v>
      </c>
      <c r="C114" s="37">
        <v>0.2</v>
      </c>
      <c r="D114" s="11">
        <f>'Базовые цены за единицу'!B15</f>
        <v>507.67</v>
      </c>
      <c r="E114" s="11">
        <v>0.96</v>
      </c>
      <c r="F114" s="36">
        <f>'Базовые цены с учетом расхода'!B15</f>
        <v>101.53</v>
      </c>
      <c r="G114" s="36">
        <f>'Базовые цены с учетом расхода'!C15</f>
        <v>66.46</v>
      </c>
      <c r="H114" s="11">
        <f>'Базовые цены с учетом расхода'!D15</f>
        <v>0.19</v>
      </c>
      <c r="I114" s="13">
        <v>32.2</v>
      </c>
      <c r="J114" s="13" t="e">
        <f>'Базовые цены с учетом расхода'!I15</f>
        <v>#NAME?</v>
      </c>
      <c r="K114" s="1" t="s">
        <v>32</v>
      </c>
      <c r="L114" s="1" t="s">
        <v>33</v>
      </c>
      <c r="N114" s="36">
        <f>'Базовые цены с учетом расхода'!F15</f>
        <v>34.88</v>
      </c>
    </row>
    <row r="115" spans="1:14" ht="21.75" customHeight="1">
      <c r="A115" s="37"/>
      <c r="B115" s="37"/>
      <c r="C115" s="37"/>
      <c r="D115" s="12">
        <v>332.3</v>
      </c>
      <c r="E115" s="12"/>
      <c r="F115" s="36"/>
      <c r="G115" s="36"/>
      <c r="H115" s="12">
        <f>'Базовые цены с учетом расхода'!E15</f>
        <v>0</v>
      </c>
      <c r="J115" s="1" t="e">
        <f>'Базовые цены с учетом расхода'!K15</f>
        <v>#NAME?</v>
      </c>
      <c r="K115" s="1" t="s">
        <v>34</v>
      </c>
      <c r="L115" s="1" t="s">
        <v>35</v>
      </c>
      <c r="N115" s="36"/>
    </row>
    <row r="116" spans="2:12" ht="10.5" hidden="1">
      <c r="B116" s="14" t="s">
        <v>37</v>
      </c>
      <c r="C116" s="1">
        <v>103</v>
      </c>
      <c r="F116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68.45</v>
      </c>
      <c r="L116" s="4" t="s">
        <v>38</v>
      </c>
    </row>
    <row r="117" spans="2:12" ht="10.5" hidden="1">
      <c r="B117" s="14" t="s">
        <v>39</v>
      </c>
      <c r="F117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68.45</v>
      </c>
      <c r="L117" s="4" t="s">
        <v>40</v>
      </c>
    </row>
    <row r="118" spans="2:12" ht="10.5" hidden="1">
      <c r="B118" s="14" t="s">
        <v>41</v>
      </c>
      <c r="F118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68.45</v>
      </c>
      <c r="L118" s="4" t="s">
        <v>42</v>
      </c>
    </row>
    <row r="119" spans="2:12" ht="10.5" hidden="1">
      <c r="B119" s="14" t="s">
        <v>43</v>
      </c>
      <c r="C119" s="1">
        <v>60</v>
      </c>
      <c r="F119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39.88</v>
      </c>
      <c r="L119" s="4" t="s">
        <v>44</v>
      </c>
    </row>
    <row r="120" spans="2:12" ht="10.5" hidden="1">
      <c r="B120" s="14" t="s">
        <v>45</v>
      </c>
      <c r="F120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39.88</v>
      </c>
      <c r="L120" s="4" t="s">
        <v>46</v>
      </c>
    </row>
    <row r="121" spans="2:12" ht="10.5" hidden="1">
      <c r="B121" s="14" t="s">
        <v>47</v>
      </c>
      <c r="F121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39.88</v>
      </c>
      <c r="L121" s="4" t="s">
        <v>48</v>
      </c>
    </row>
    <row r="122" spans="1:10" ht="10.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2:18" ht="10.5">
      <c r="B123" s="8" t="s">
        <v>68</v>
      </c>
      <c r="E123" s="38"/>
      <c r="F123" s="34">
        <f>'Базовые концовки'!F7</f>
        <v>2920.13</v>
      </c>
      <c r="G123" s="34">
        <f>'Базовые концовки'!G7</f>
        <v>260.83</v>
      </c>
      <c r="H123" s="19">
        <f>'Базовые концовки'!H7</f>
        <v>14.93</v>
      </c>
      <c r="I123" s="37"/>
      <c r="J123" s="20" t="e">
        <f>'Базовые концовки'!J7</f>
        <v>#NAME?</v>
      </c>
      <c r="N123" s="34">
        <f>'Базовые концовки'!L7</f>
        <v>2644.37</v>
      </c>
      <c r="R123" s="34">
        <f>'Базовые концовки'!M7</f>
        <v>0</v>
      </c>
    </row>
    <row r="124" spans="5:18" ht="10.5">
      <c r="E124" s="38"/>
      <c r="F124" s="34"/>
      <c r="G124" s="34"/>
      <c r="H124" s="18">
        <f>'Базовые концовки'!I7</f>
        <v>0.69</v>
      </c>
      <c r="I124" s="37"/>
      <c r="J124" s="7" t="e">
        <f>'Базовые концовки'!K7</f>
        <v>#NAME?</v>
      </c>
      <c r="N124" s="34"/>
      <c r="R124" s="34"/>
    </row>
    <row r="125" spans="2:18" ht="10.5" hidden="1">
      <c r="B125" s="8" t="s">
        <v>69</v>
      </c>
      <c r="E125" s="17"/>
      <c r="F125" s="18">
        <f>'Базовые концовки'!F8</f>
        <v>0</v>
      </c>
      <c r="G125" s="18">
        <f>'Базовые концовки'!G8</f>
        <v>0</v>
      </c>
      <c r="H125" s="18">
        <f>'Базовые концовки'!H8</f>
        <v>0</v>
      </c>
      <c r="J125" s="7">
        <f>'Базовые концовки'!J8</f>
        <v>0</v>
      </c>
      <c r="N125" s="18">
        <f>'Базовые концовки'!L8</f>
        <v>0</v>
      </c>
      <c r="R125" s="18">
        <f>'Базовые концовки'!M8</f>
        <v>0</v>
      </c>
    </row>
    <row r="126" spans="2:18" ht="10.5" hidden="1">
      <c r="B126" s="8" t="s">
        <v>70</v>
      </c>
      <c r="E126" s="17"/>
      <c r="F126" s="18" t="e">
        <f>'Базовые концовки'!F9</f>
        <v>#NAME?</v>
      </c>
      <c r="G126" s="18"/>
      <c r="H126" s="18"/>
      <c r="J126" s="7"/>
      <c r="N126" s="18"/>
      <c r="R126" s="18"/>
    </row>
    <row r="127" spans="2:18" ht="10.5" hidden="1">
      <c r="B127" s="8" t="s">
        <v>71</v>
      </c>
      <c r="E127" s="17"/>
      <c r="F127" s="18" t="e">
        <f>'Базовые концовки'!F10</f>
        <v>#NAME?</v>
      </c>
      <c r="G127" s="18"/>
      <c r="H127" s="18"/>
      <c r="J127" s="7"/>
      <c r="N127" s="18"/>
      <c r="R127" s="18"/>
    </row>
    <row r="128" spans="2:18" ht="10.5" hidden="1">
      <c r="B128" s="8" t="s">
        <v>72</v>
      </c>
      <c r="E128" s="17"/>
      <c r="F128" s="18" t="e">
        <f>'Базовые концовки'!F11</f>
        <v>#NAME?</v>
      </c>
      <c r="G128" s="18"/>
      <c r="H128" s="18"/>
      <c r="J128" s="7"/>
      <c r="N128" s="18"/>
      <c r="R128" s="18"/>
    </row>
    <row r="129" spans="2:18" ht="10.5" hidden="1">
      <c r="B129" s="8" t="s">
        <v>73</v>
      </c>
      <c r="E129" s="17"/>
      <c r="F129" s="18" t="e">
        <f>'Базовые концовки'!F12</f>
        <v>#NAME?</v>
      </c>
      <c r="G129" s="18"/>
      <c r="H129" s="18"/>
      <c r="J129" s="7"/>
      <c r="N129" s="18"/>
      <c r="R129" s="18"/>
    </row>
    <row r="130" spans="2:18" ht="10.5" hidden="1">
      <c r="B130" s="8" t="s">
        <v>74</v>
      </c>
      <c r="E130" s="17"/>
      <c r="F130" s="18" t="e">
        <f>'Базовые концовки'!F13</f>
        <v>#NAME?</v>
      </c>
      <c r="G130" s="18"/>
      <c r="H130" s="18"/>
      <c r="J130" s="7"/>
      <c r="N130" s="18"/>
      <c r="R130" s="18"/>
    </row>
    <row r="131" spans="2:18" ht="10.5" hidden="1">
      <c r="B131" s="8" t="s">
        <v>75</v>
      </c>
      <c r="E131" s="17"/>
      <c r="F131" s="18" t="e">
        <f>'Базовые концовки'!F14</f>
        <v>#NAME?</v>
      </c>
      <c r="G131" s="18"/>
      <c r="H131" s="18"/>
      <c r="J131" s="7"/>
      <c r="N131" s="18"/>
      <c r="R131" s="18"/>
    </row>
    <row r="132" spans="2:18" ht="10.5" hidden="1">
      <c r="B132" s="8" t="s">
        <v>76</v>
      </c>
      <c r="E132" s="17"/>
      <c r="F132" s="18" t="e">
        <f>'Базовые концовки'!F15</f>
        <v>#NAME?</v>
      </c>
      <c r="G132" s="18"/>
      <c r="H132" s="18"/>
      <c r="J132" s="7"/>
      <c r="N132" s="18"/>
      <c r="R132" s="18"/>
    </row>
    <row r="133" spans="2:18" ht="10.5" hidden="1">
      <c r="B133" s="8" t="s">
        <v>77</v>
      </c>
      <c r="E133" s="17"/>
      <c r="F133" s="18" t="e">
        <f>'Базовые концовки'!F16</f>
        <v>#NAME?</v>
      </c>
      <c r="G133" s="18"/>
      <c r="H133" s="18"/>
      <c r="J133" s="7"/>
      <c r="N133" s="18"/>
      <c r="R133" s="18"/>
    </row>
    <row r="134" spans="2:18" ht="10.5" hidden="1">
      <c r="B134" s="8" t="s">
        <v>78</v>
      </c>
      <c r="E134" s="17"/>
      <c r="F134" s="18" t="e">
        <f>'Базовые концовки'!F17</f>
        <v>#NAME?</v>
      </c>
      <c r="G134" s="18"/>
      <c r="H134" s="18"/>
      <c r="J134" s="7"/>
      <c r="N134" s="18"/>
      <c r="R134" s="18"/>
    </row>
    <row r="135" spans="2:18" ht="10.5" hidden="1">
      <c r="B135" s="8" t="s">
        <v>79</v>
      </c>
      <c r="E135" s="17"/>
      <c r="F135" s="18">
        <f>'Базовые концовки'!F18</f>
        <v>0</v>
      </c>
      <c r="G135" s="18">
        <f>'Базовые концовки'!G18</f>
        <v>0</v>
      </c>
      <c r="H135" s="18">
        <f>'Базовые концовки'!H18</f>
        <v>0</v>
      </c>
      <c r="J135" s="7">
        <f>'Базовые концовки'!J18</f>
        <v>0</v>
      </c>
      <c r="N135" s="18">
        <f>'Базовые концовки'!L18</f>
        <v>0</v>
      </c>
      <c r="R135" s="18">
        <f>'Базовые концовки'!M18</f>
        <v>0</v>
      </c>
    </row>
    <row r="136" spans="2:18" ht="10.5" hidden="1">
      <c r="B136" s="8" t="s">
        <v>80</v>
      </c>
      <c r="E136" s="17"/>
      <c r="F136" s="18"/>
      <c r="G136" s="18"/>
      <c r="H136" s="18"/>
      <c r="J136" s="7"/>
      <c r="N136" s="18"/>
      <c r="R136" s="18"/>
    </row>
    <row r="137" spans="2:18" ht="10.5" hidden="1">
      <c r="B137" s="8" t="s">
        <v>81</v>
      </c>
      <c r="E137" s="17"/>
      <c r="F137" s="18"/>
      <c r="G137" s="18">
        <f>'Базовые концовки'!G20</f>
        <v>0</v>
      </c>
      <c r="H137" s="18"/>
      <c r="J137" s="7"/>
      <c r="N137" s="18"/>
      <c r="R137" s="18"/>
    </row>
    <row r="138" spans="2:18" ht="10.5" hidden="1">
      <c r="B138" s="8" t="s">
        <v>82</v>
      </c>
      <c r="E138" s="17"/>
      <c r="F138" s="18">
        <f>'Базовые концовки'!F21</f>
        <v>0</v>
      </c>
      <c r="G138" s="18"/>
      <c r="H138" s="18"/>
      <c r="J138" s="7"/>
      <c r="N138" s="18"/>
      <c r="R138" s="18"/>
    </row>
    <row r="139" spans="2:18" ht="10.5" hidden="1">
      <c r="B139" s="8" t="s">
        <v>83</v>
      </c>
      <c r="E139" s="17"/>
      <c r="F139" s="18" t="e">
        <f>'Базовые концовки'!F22</f>
        <v>#NAME?</v>
      </c>
      <c r="G139" s="18"/>
      <c r="H139" s="18"/>
      <c r="J139" s="7"/>
      <c r="N139" s="18"/>
      <c r="R139" s="18"/>
    </row>
    <row r="140" spans="2:18" ht="10.5" hidden="1">
      <c r="B140" s="8" t="s">
        <v>84</v>
      </c>
      <c r="E140" s="17"/>
      <c r="F140" s="18">
        <f>'Базовые концовки'!F23</f>
        <v>0</v>
      </c>
      <c r="G140" s="18"/>
      <c r="H140" s="18"/>
      <c r="J140" s="7"/>
      <c r="N140" s="18"/>
      <c r="R140" s="18"/>
    </row>
    <row r="141" spans="2:18" ht="10.5" hidden="1">
      <c r="B141" s="8" t="s">
        <v>85</v>
      </c>
      <c r="E141" s="17"/>
      <c r="F141" s="18">
        <f>'Базовые концовки'!F24</f>
        <v>0</v>
      </c>
      <c r="G141" s="18"/>
      <c r="H141" s="18"/>
      <c r="J141" s="7"/>
      <c r="N141" s="18"/>
      <c r="R141" s="18"/>
    </row>
    <row r="142" spans="2:18" ht="10.5" hidden="1">
      <c r="B142" s="8" t="s">
        <v>86</v>
      </c>
      <c r="E142" s="17"/>
      <c r="F142" s="18">
        <f>'Базовые концовки'!F25</f>
        <v>0</v>
      </c>
      <c r="G142" s="18"/>
      <c r="H142" s="18"/>
      <c r="J142" s="7"/>
      <c r="N142" s="18"/>
      <c r="R142" s="18"/>
    </row>
    <row r="143" spans="2:18" ht="10.5" hidden="1">
      <c r="B143" s="8" t="s">
        <v>77</v>
      </c>
      <c r="E143" s="17"/>
      <c r="F143" s="18" t="e">
        <f>'Базовые концовки'!F26</f>
        <v>#NAME?</v>
      </c>
      <c r="G143" s="18"/>
      <c r="H143" s="18"/>
      <c r="J143" s="7"/>
      <c r="N143" s="18"/>
      <c r="R143" s="18"/>
    </row>
    <row r="144" spans="2:18" ht="10.5" hidden="1">
      <c r="B144" s="8" t="s">
        <v>87</v>
      </c>
      <c r="E144" s="17"/>
      <c r="F144" s="18">
        <f>'Базовые концовки'!F27</f>
        <v>0</v>
      </c>
      <c r="G144" s="18"/>
      <c r="H144" s="18"/>
      <c r="J144" s="7"/>
      <c r="N144" s="18"/>
      <c r="R144" s="18"/>
    </row>
    <row r="145" spans="2:18" ht="10.5">
      <c r="B145" s="8" t="s">
        <v>88</v>
      </c>
      <c r="E145" s="38"/>
      <c r="F145" s="34">
        <f>'Базовые концовки'!F28</f>
        <v>2418.39</v>
      </c>
      <c r="G145" s="34">
        <f>'Базовые концовки'!G28</f>
        <v>144.87</v>
      </c>
      <c r="H145" s="19">
        <f>'Базовые концовки'!H28</f>
        <v>6.53</v>
      </c>
      <c r="I145" s="37"/>
      <c r="J145" s="20" t="e">
        <f>'Базовые концовки'!J28</f>
        <v>#NAME?</v>
      </c>
      <c r="N145" s="34">
        <f>'Базовые концовки'!L28</f>
        <v>2266.99</v>
      </c>
      <c r="R145" s="34">
        <f>'Базовые концовки'!M28</f>
        <v>0</v>
      </c>
    </row>
    <row r="146" spans="5:18" ht="10.5">
      <c r="E146" s="38"/>
      <c r="F146" s="34"/>
      <c r="G146" s="34"/>
      <c r="H146" s="18">
        <f>'Базовые концовки'!I28</f>
        <v>0.44</v>
      </c>
      <c r="I146" s="37"/>
      <c r="J146" s="7" t="e">
        <f>'Базовые концовки'!K28</f>
        <v>#NAME?</v>
      </c>
      <c r="N146" s="34"/>
      <c r="R146" s="34"/>
    </row>
    <row r="147" spans="2:18" ht="10.5" hidden="1">
      <c r="B147" s="8" t="s">
        <v>80</v>
      </c>
      <c r="E147" s="17"/>
      <c r="F147" s="18"/>
      <c r="G147" s="18"/>
      <c r="H147" s="18"/>
      <c r="J147" s="7"/>
      <c r="N147" s="18"/>
      <c r="R147" s="18"/>
    </row>
    <row r="148" spans="2:18" ht="10.5">
      <c r="B148" s="8" t="s">
        <v>89</v>
      </c>
      <c r="E148" s="17"/>
      <c r="F148" s="18">
        <f>'Базовые концовки'!F30</f>
        <v>0.81</v>
      </c>
      <c r="G148" s="18"/>
      <c r="H148" s="18"/>
      <c r="J148" s="7"/>
      <c r="N148" s="18"/>
      <c r="R148" s="18"/>
    </row>
    <row r="149" spans="2:18" ht="10.5" hidden="1">
      <c r="B149" s="8" t="s">
        <v>84</v>
      </c>
      <c r="E149" s="17"/>
      <c r="F149" s="18">
        <f>'Базовые концовки'!F31</f>
        <v>0</v>
      </c>
      <c r="G149" s="18"/>
      <c r="H149" s="18"/>
      <c r="J149" s="7"/>
      <c r="N149" s="18"/>
      <c r="R149" s="18"/>
    </row>
    <row r="150" spans="2:18" ht="10.5">
      <c r="B150" s="8" t="s">
        <v>90</v>
      </c>
      <c r="E150" s="17"/>
      <c r="F150" s="18">
        <f>'Базовые концовки'!F32</f>
        <v>152.79</v>
      </c>
      <c r="G150" s="18"/>
      <c r="H150" s="18"/>
      <c r="J150" s="7"/>
      <c r="N150" s="18"/>
      <c r="R150" s="18"/>
    </row>
    <row r="151" spans="2:18" ht="10.5">
      <c r="B151" s="8" t="s">
        <v>91</v>
      </c>
      <c r="E151" s="17"/>
      <c r="F151" s="18">
        <f>'Базовые концовки'!F33</f>
        <v>111</v>
      </c>
      <c r="G151" s="18"/>
      <c r="H151" s="18"/>
      <c r="J151" s="7"/>
      <c r="N151" s="18"/>
      <c r="R151" s="18"/>
    </row>
    <row r="152" spans="2:18" ht="10.5">
      <c r="B152" s="8" t="s">
        <v>92</v>
      </c>
      <c r="E152" s="17"/>
      <c r="F152" s="18">
        <f>'Базовые концовки'!F34</f>
        <v>2682.18</v>
      </c>
      <c r="G152" s="18"/>
      <c r="H152" s="18"/>
      <c r="J152" s="7"/>
      <c r="N152" s="18"/>
      <c r="R152" s="18"/>
    </row>
    <row r="153" spans="2:18" ht="10.5" hidden="1">
      <c r="B153" s="8" t="s">
        <v>93</v>
      </c>
      <c r="E153" s="17"/>
      <c r="F153" s="18">
        <f>'Базовые концовки'!F35</f>
        <v>0</v>
      </c>
      <c r="G153" s="18">
        <f>'Базовые концовки'!G35</f>
        <v>0</v>
      </c>
      <c r="H153" s="18">
        <f>'Базовые концовки'!H35</f>
        <v>0</v>
      </c>
      <c r="J153" s="7">
        <f>'Базовые концовки'!J35</f>
        <v>0</v>
      </c>
      <c r="N153" s="18">
        <f>'Базовые концовки'!L35</f>
        <v>0</v>
      </c>
      <c r="R153" s="18">
        <f>'Базовые концовки'!M35</f>
        <v>0</v>
      </c>
    </row>
    <row r="154" spans="2:18" ht="10.5" hidden="1">
      <c r="B154" s="8" t="s">
        <v>84</v>
      </c>
      <c r="E154" s="17"/>
      <c r="F154" s="18">
        <f>'Базовые концовки'!F36</f>
        <v>0</v>
      </c>
      <c r="G154" s="18"/>
      <c r="H154" s="18"/>
      <c r="J154" s="7"/>
      <c r="N154" s="18"/>
      <c r="R154" s="18"/>
    </row>
    <row r="155" spans="2:18" ht="10.5" hidden="1">
      <c r="B155" s="8" t="s">
        <v>85</v>
      </c>
      <c r="E155" s="17"/>
      <c r="F155" s="18">
        <f>'Базовые концовки'!F37</f>
        <v>0</v>
      </c>
      <c r="G155" s="18"/>
      <c r="H155" s="18"/>
      <c r="J155" s="7"/>
      <c r="N155" s="18"/>
      <c r="R155" s="18"/>
    </row>
    <row r="156" spans="2:18" ht="10.5" hidden="1">
      <c r="B156" s="8" t="s">
        <v>86</v>
      </c>
      <c r="E156" s="17"/>
      <c r="F156" s="18">
        <f>'Базовые концовки'!F38</f>
        <v>0</v>
      </c>
      <c r="G156" s="18"/>
      <c r="H156" s="18"/>
      <c r="J156" s="7"/>
      <c r="N156" s="18"/>
      <c r="R156" s="18"/>
    </row>
    <row r="157" spans="2:18" ht="10.5" hidden="1">
      <c r="B157" s="8" t="s">
        <v>94</v>
      </c>
      <c r="E157" s="17"/>
      <c r="F157" s="18">
        <f>'Базовые концовки'!F39</f>
        <v>0</v>
      </c>
      <c r="G157" s="18"/>
      <c r="H157" s="18"/>
      <c r="J157" s="7"/>
      <c r="N157" s="18"/>
      <c r="R157" s="18"/>
    </row>
    <row r="158" spans="2:18" ht="10.5">
      <c r="B158" s="8" t="s">
        <v>95</v>
      </c>
      <c r="E158" s="38"/>
      <c r="F158" s="34">
        <f>'Базовые концовки'!F40</f>
        <v>501.74</v>
      </c>
      <c r="G158" s="34">
        <f>'Базовые концовки'!G40</f>
        <v>115.96</v>
      </c>
      <c r="H158" s="19">
        <f>'Базовые концовки'!H40</f>
        <v>8.4</v>
      </c>
      <c r="I158" s="37"/>
      <c r="J158" s="20" t="e">
        <f>'Базовые концовки'!J40</f>
        <v>#NAME?</v>
      </c>
      <c r="N158" s="34">
        <f>'Базовые концовки'!L40</f>
        <v>377.38</v>
      </c>
      <c r="R158" s="34">
        <f>'Базовые концовки'!M40</f>
        <v>0</v>
      </c>
    </row>
    <row r="159" spans="5:18" ht="10.5">
      <c r="E159" s="38"/>
      <c r="F159" s="34"/>
      <c r="G159" s="34"/>
      <c r="H159" s="18">
        <f>'Базовые концовки'!I40</f>
        <v>0.25</v>
      </c>
      <c r="I159" s="37"/>
      <c r="J159" s="7" t="e">
        <f>'Базовые концовки'!K40</f>
        <v>#NAME?</v>
      </c>
      <c r="N159" s="34"/>
      <c r="R159" s="34"/>
    </row>
    <row r="160" spans="2:18" ht="10.5" hidden="1">
      <c r="B160" s="8" t="s">
        <v>80</v>
      </c>
      <c r="E160" s="17"/>
      <c r="F160" s="18"/>
      <c r="G160" s="18"/>
      <c r="H160" s="18"/>
      <c r="J160" s="7"/>
      <c r="N160" s="18"/>
      <c r="R160" s="18"/>
    </row>
    <row r="161" spans="2:18" ht="10.5" hidden="1">
      <c r="B161" s="8" t="s">
        <v>96</v>
      </c>
      <c r="E161" s="17"/>
      <c r="F161" s="18">
        <f>'Базовые концовки'!F42</f>
        <v>0</v>
      </c>
      <c r="G161" s="18"/>
      <c r="H161" s="18"/>
      <c r="J161" s="7"/>
      <c r="N161" s="18"/>
      <c r="R161" s="18"/>
    </row>
    <row r="162" spans="2:18" ht="10.5" hidden="1">
      <c r="B162" s="8" t="s">
        <v>84</v>
      </c>
      <c r="E162" s="17"/>
      <c r="F162" s="18">
        <f>'Базовые концовки'!F43</f>
        <v>0</v>
      </c>
      <c r="G162" s="18"/>
      <c r="H162" s="18"/>
      <c r="J162" s="7"/>
      <c r="N162" s="18"/>
      <c r="R162" s="18"/>
    </row>
    <row r="163" spans="2:18" ht="10.5">
      <c r="B163" s="8" t="s">
        <v>97</v>
      </c>
      <c r="E163" s="17"/>
      <c r="F163" s="18">
        <f>'Базовые концовки'!F44</f>
        <v>125.67</v>
      </c>
      <c r="G163" s="18"/>
      <c r="H163" s="18"/>
      <c r="J163" s="7"/>
      <c r="N163" s="18"/>
      <c r="R163" s="18"/>
    </row>
    <row r="164" spans="2:18" ht="10.5">
      <c r="B164" s="8" t="s">
        <v>98</v>
      </c>
      <c r="E164" s="17"/>
      <c r="F164" s="18">
        <f>'Базовые концовки'!F45</f>
        <v>75.2</v>
      </c>
      <c r="G164" s="18"/>
      <c r="H164" s="18"/>
      <c r="J164" s="7"/>
      <c r="N164" s="18"/>
      <c r="R164" s="18"/>
    </row>
    <row r="165" spans="2:18" ht="10.5" hidden="1">
      <c r="B165" s="8" t="s">
        <v>77</v>
      </c>
      <c r="E165" s="17"/>
      <c r="F165" s="18" t="e">
        <f>'Базовые концовки'!F46</f>
        <v>#NAME?</v>
      </c>
      <c r="G165" s="18"/>
      <c r="H165" s="18"/>
      <c r="J165" s="7"/>
      <c r="N165" s="18"/>
      <c r="R165" s="18"/>
    </row>
    <row r="166" spans="2:18" ht="10.5">
      <c r="B166" s="8" t="s">
        <v>99</v>
      </c>
      <c r="E166" s="17"/>
      <c r="F166" s="18">
        <f>'Базовые концовки'!F47</f>
        <v>702.61</v>
      </c>
      <c r="G166" s="18"/>
      <c r="H166" s="18"/>
      <c r="J166" s="7"/>
      <c r="N166" s="18"/>
      <c r="R166" s="18"/>
    </row>
    <row r="167" spans="2:18" ht="10.5" hidden="1">
      <c r="B167" s="8" t="s">
        <v>100</v>
      </c>
      <c r="E167" s="17"/>
      <c r="F167" s="18">
        <f>'Базовые концовки'!F48</f>
        <v>0</v>
      </c>
      <c r="G167" s="18">
        <f>'Базовые концовки'!G48</f>
        <v>0</v>
      </c>
      <c r="H167" s="18">
        <f>'Базовые концовки'!H48</f>
        <v>0</v>
      </c>
      <c r="J167" s="7">
        <f>'Базовые концовки'!J48</f>
        <v>0</v>
      </c>
      <c r="N167" s="18">
        <f>'Базовые концовки'!L48</f>
        <v>0</v>
      </c>
      <c r="R167" s="18">
        <f>'Базовые концовки'!M48</f>
        <v>0</v>
      </c>
    </row>
    <row r="168" spans="2:18" ht="10.5" hidden="1">
      <c r="B168" s="8" t="s">
        <v>84</v>
      </c>
      <c r="E168" s="17"/>
      <c r="F168" s="18">
        <f>'Базовые концовки'!F49</f>
        <v>0</v>
      </c>
      <c r="G168" s="18"/>
      <c r="H168" s="18"/>
      <c r="J168" s="7"/>
      <c r="N168" s="18"/>
      <c r="R168" s="18"/>
    </row>
    <row r="169" spans="2:18" ht="10.5" hidden="1">
      <c r="B169" s="8" t="s">
        <v>85</v>
      </c>
      <c r="E169" s="17"/>
      <c r="F169" s="18">
        <f>'Базовые концовки'!F50</f>
        <v>0</v>
      </c>
      <c r="G169" s="18"/>
      <c r="H169" s="18"/>
      <c r="J169" s="7"/>
      <c r="N169" s="18"/>
      <c r="R169" s="18"/>
    </row>
    <row r="170" spans="2:18" ht="10.5" hidden="1">
      <c r="B170" s="8" t="s">
        <v>86</v>
      </c>
      <c r="E170" s="17"/>
      <c r="F170" s="18">
        <f>'Базовые концовки'!F51</f>
        <v>0</v>
      </c>
      <c r="G170" s="18"/>
      <c r="H170" s="18"/>
      <c r="J170" s="7"/>
      <c r="N170" s="18"/>
      <c r="R170" s="18"/>
    </row>
    <row r="171" spans="2:18" ht="10.5" hidden="1">
      <c r="B171" s="8" t="s">
        <v>101</v>
      </c>
      <c r="E171" s="17"/>
      <c r="F171" s="18">
        <f>'Базовые концовки'!F52</f>
        <v>0</v>
      </c>
      <c r="G171" s="18"/>
      <c r="H171" s="18"/>
      <c r="J171" s="7"/>
      <c r="N171" s="18"/>
      <c r="R171" s="18"/>
    </row>
    <row r="172" spans="2:18" ht="10.5" hidden="1">
      <c r="B172" s="8" t="s">
        <v>102</v>
      </c>
      <c r="E172" s="17"/>
      <c r="F172" s="18">
        <f>'Базовые концовки'!F53</f>
        <v>0</v>
      </c>
      <c r="G172" s="18">
        <f>'Базовые концовки'!G53</f>
        <v>0</v>
      </c>
      <c r="H172" s="18">
        <f>'Базовые концовки'!H53</f>
        <v>0</v>
      </c>
      <c r="J172" s="7">
        <f>'Базовые концовки'!J53</f>
        <v>0</v>
      </c>
      <c r="N172" s="18">
        <f>'Базовые концовки'!L53</f>
        <v>0</v>
      </c>
      <c r="R172" s="18">
        <f>'Базовые концовки'!M53</f>
        <v>0</v>
      </c>
    </row>
    <row r="173" spans="2:18" ht="10.5" hidden="1">
      <c r="B173" s="8" t="s">
        <v>84</v>
      </c>
      <c r="E173" s="17"/>
      <c r="F173" s="18">
        <f>'Базовые концовки'!F54</f>
        <v>0</v>
      </c>
      <c r="G173" s="18"/>
      <c r="H173" s="18"/>
      <c r="J173" s="7"/>
      <c r="N173" s="18"/>
      <c r="R173" s="18"/>
    </row>
    <row r="174" spans="2:18" ht="10.5" hidden="1">
      <c r="B174" s="8" t="s">
        <v>85</v>
      </c>
      <c r="E174" s="17"/>
      <c r="F174" s="18">
        <f>'Базовые концовки'!F55</f>
        <v>0</v>
      </c>
      <c r="G174" s="18"/>
      <c r="H174" s="18"/>
      <c r="J174" s="7"/>
      <c r="N174" s="18"/>
      <c r="R174" s="18"/>
    </row>
    <row r="175" spans="2:18" ht="10.5" hidden="1">
      <c r="B175" s="8" t="s">
        <v>86</v>
      </c>
      <c r="E175" s="17"/>
      <c r="F175" s="18">
        <f>'Базовые концовки'!F56</f>
        <v>0</v>
      </c>
      <c r="G175" s="18"/>
      <c r="H175" s="18"/>
      <c r="J175" s="7"/>
      <c r="N175" s="18"/>
      <c r="R175" s="18"/>
    </row>
    <row r="176" spans="2:18" ht="10.5" hidden="1">
      <c r="B176" s="8" t="s">
        <v>103</v>
      </c>
      <c r="E176" s="17"/>
      <c r="F176" s="18">
        <f>'Базовые концовки'!F57</f>
        <v>0</v>
      </c>
      <c r="G176" s="18"/>
      <c r="H176" s="18"/>
      <c r="J176" s="7"/>
      <c r="N176" s="18"/>
      <c r="R176" s="18"/>
    </row>
    <row r="177" spans="2:18" ht="10.5" hidden="1">
      <c r="B177" s="8" t="s">
        <v>104</v>
      </c>
      <c r="E177" s="17"/>
      <c r="F177" s="18">
        <f>'Базовые концовки'!F58</f>
        <v>0</v>
      </c>
      <c r="G177" s="18">
        <f>'Базовые концовки'!G58</f>
        <v>0</v>
      </c>
      <c r="H177" s="18">
        <f>'Базовые концовки'!H58</f>
        <v>0</v>
      </c>
      <c r="J177" s="7">
        <f>'Базовые концовки'!J58</f>
        <v>0</v>
      </c>
      <c r="N177" s="18">
        <f>'Базовые концовки'!L58</f>
        <v>0</v>
      </c>
      <c r="R177" s="18">
        <f>'Базовые концовки'!M58</f>
        <v>0</v>
      </c>
    </row>
    <row r="178" spans="2:18" ht="10.5" hidden="1">
      <c r="B178" s="8" t="s">
        <v>80</v>
      </c>
      <c r="E178" s="17"/>
      <c r="F178" s="18"/>
      <c r="G178" s="18"/>
      <c r="H178" s="18"/>
      <c r="J178" s="7"/>
      <c r="N178" s="18"/>
      <c r="R178" s="18"/>
    </row>
    <row r="179" spans="2:18" ht="10.5" hidden="1">
      <c r="B179" s="8" t="s">
        <v>105</v>
      </c>
      <c r="E179" s="17"/>
      <c r="F179" s="18">
        <f>'Базовые концовки'!F60</f>
        <v>0.81</v>
      </c>
      <c r="G179" s="18"/>
      <c r="H179" s="18"/>
      <c r="J179" s="7"/>
      <c r="N179" s="18"/>
      <c r="R179" s="18"/>
    </row>
    <row r="180" spans="2:18" ht="10.5" hidden="1">
      <c r="B180" s="8" t="s">
        <v>84</v>
      </c>
      <c r="E180" s="17"/>
      <c r="F180" s="18">
        <f>'Базовые концовки'!F61</f>
        <v>0</v>
      </c>
      <c r="G180" s="18"/>
      <c r="H180" s="18"/>
      <c r="J180" s="7"/>
      <c r="N180" s="18"/>
      <c r="R180" s="18"/>
    </row>
    <row r="181" spans="2:18" ht="10.5" hidden="1">
      <c r="B181" s="8" t="s">
        <v>106</v>
      </c>
      <c r="E181" s="17"/>
      <c r="F181" s="18">
        <f>'Базовые концовки'!F62</f>
        <v>0</v>
      </c>
      <c r="G181" s="18"/>
      <c r="H181" s="18"/>
      <c r="J181" s="7"/>
      <c r="N181" s="18"/>
      <c r="R181" s="18"/>
    </row>
    <row r="182" spans="2:18" ht="10.5" hidden="1">
      <c r="B182" s="8" t="s">
        <v>86</v>
      </c>
      <c r="E182" s="17"/>
      <c r="F182" s="18">
        <f>'Базовые концовки'!F63</f>
        <v>0</v>
      </c>
      <c r="G182" s="18"/>
      <c r="H182" s="18"/>
      <c r="J182" s="7"/>
      <c r="N182" s="18"/>
      <c r="R182" s="18"/>
    </row>
    <row r="183" spans="2:18" ht="10.5" hidden="1">
      <c r="B183" s="8" t="s">
        <v>107</v>
      </c>
      <c r="E183" s="17"/>
      <c r="F183" s="18">
        <f>'Базовые концовки'!F64</f>
        <v>0</v>
      </c>
      <c r="G183" s="18"/>
      <c r="H183" s="18"/>
      <c r="J183" s="7"/>
      <c r="N183" s="18"/>
      <c r="R183" s="18"/>
    </row>
    <row r="184" spans="2:18" ht="10.5" hidden="1">
      <c r="B184" s="8" t="s">
        <v>108</v>
      </c>
      <c r="E184" s="17"/>
      <c r="F184" s="18">
        <f>'Базовые концовки'!F65</f>
        <v>0</v>
      </c>
      <c r="G184" s="18">
        <f>'Базовые концовки'!G65</f>
        <v>0</v>
      </c>
      <c r="H184" s="18">
        <f>'Базовые концовки'!H65</f>
        <v>0</v>
      </c>
      <c r="J184" s="7">
        <f>'Базовые концовки'!J65</f>
        <v>0</v>
      </c>
      <c r="N184" s="18">
        <f>'Базовые концовки'!L65</f>
        <v>0</v>
      </c>
      <c r="R184" s="18">
        <f>'Базовые концовки'!M65</f>
        <v>0</v>
      </c>
    </row>
    <row r="185" spans="2:18" ht="10.5" hidden="1">
      <c r="B185" s="8" t="s">
        <v>106</v>
      </c>
      <c r="E185" s="17"/>
      <c r="F185" s="18">
        <f>'Базовые концовки'!F66</f>
        <v>0</v>
      </c>
      <c r="G185" s="18"/>
      <c r="H185" s="18"/>
      <c r="J185" s="7"/>
      <c r="N185" s="18"/>
      <c r="R185" s="18"/>
    </row>
    <row r="186" spans="2:18" ht="10.5" hidden="1">
      <c r="B186" s="8" t="s">
        <v>86</v>
      </c>
      <c r="E186" s="17"/>
      <c r="F186" s="18">
        <f>'Базовые концовки'!F67</f>
        <v>0</v>
      </c>
      <c r="G186" s="18"/>
      <c r="H186" s="18"/>
      <c r="J186" s="7"/>
      <c r="N186" s="18"/>
      <c r="R186" s="18"/>
    </row>
    <row r="187" spans="2:18" ht="10.5" hidden="1">
      <c r="B187" s="8" t="s">
        <v>109</v>
      </c>
      <c r="E187" s="17"/>
      <c r="F187" s="18">
        <f>'Базовые концовки'!F68</f>
        <v>0</v>
      </c>
      <c r="G187" s="18"/>
      <c r="H187" s="18"/>
      <c r="J187" s="7"/>
      <c r="N187" s="18"/>
      <c r="R187" s="18"/>
    </row>
    <row r="188" spans="2:18" ht="10.5" hidden="1">
      <c r="B188" s="8" t="s">
        <v>110</v>
      </c>
      <c r="E188" s="17"/>
      <c r="F188" s="18">
        <f>'Базовые концовки'!F69</f>
        <v>0</v>
      </c>
      <c r="G188" s="18">
        <f>'Базовые концовки'!G69</f>
        <v>0</v>
      </c>
      <c r="H188" s="18">
        <f>'Базовые концовки'!H69</f>
        <v>0</v>
      </c>
      <c r="J188" s="7">
        <f>'Базовые концовки'!J69</f>
        <v>0</v>
      </c>
      <c r="N188" s="18">
        <f>'Базовые концовки'!L69</f>
        <v>0</v>
      </c>
      <c r="R188" s="18">
        <f>'Базовые концовки'!M69</f>
        <v>0</v>
      </c>
    </row>
    <row r="189" spans="2:18" ht="10.5" hidden="1">
      <c r="B189" s="8" t="s">
        <v>84</v>
      </c>
      <c r="E189" s="17"/>
      <c r="F189" s="18">
        <f>'Базовые концовки'!F70</f>
        <v>0</v>
      </c>
      <c r="G189" s="18"/>
      <c r="H189" s="18"/>
      <c r="J189" s="7"/>
      <c r="N189" s="18"/>
      <c r="R189" s="18"/>
    </row>
    <row r="190" spans="2:18" ht="10.5" hidden="1">
      <c r="B190" s="8" t="s">
        <v>106</v>
      </c>
      <c r="E190" s="17"/>
      <c r="F190" s="18">
        <f>'Базовые концовки'!F71</f>
        <v>0</v>
      </c>
      <c r="G190" s="18"/>
      <c r="H190" s="18"/>
      <c r="J190" s="7"/>
      <c r="N190" s="18"/>
      <c r="R190" s="18"/>
    </row>
    <row r="191" spans="2:18" ht="10.5" hidden="1">
      <c r="B191" s="8" t="s">
        <v>86</v>
      </c>
      <c r="E191" s="17"/>
      <c r="F191" s="18">
        <f>'Базовые концовки'!F72</f>
        <v>0</v>
      </c>
      <c r="G191" s="18"/>
      <c r="H191" s="18"/>
      <c r="J191" s="7"/>
      <c r="N191" s="18"/>
      <c r="R191" s="18"/>
    </row>
    <row r="192" spans="2:18" ht="10.5" hidden="1">
      <c r="B192" s="8" t="s">
        <v>111</v>
      </c>
      <c r="E192" s="17"/>
      <c r="F192" s="18">
        <f>'Базовые концовки'!F73</f>
        <v>0</v>
      </c>
      <c r="G192" s="18"/>
      <c r="H192" s="18"/>
      <c r="J192" s="7"/>
      <c r="N192" s="18"/>
      <c r="R192" s="18"/>
    </row>
    <row r="193" spans="2:18" ht="10.5" hidden="1">
      <c r="B193" s="8" t="s">
        <v>112</v>
      </c>
      <c r="E193" s="17"/>
      <c r="F193" s="18">
        <f>'Базовые концовки'!F74</f>
        <v>0</v>
      </c>
      <c r="G193" s="18">
        <f>'Базовые концовки'!G74</f>
        <v>0</v>
      </c>
      <c r="H193" s="18">
        <f>'Базовые концовки'!H74</f>
        <v>0</v>
      </c>
      <c r="J193" s="7">
        <f>'Базовые концовки'!J74</f>
        <v>0</v>
      </c>
      <c r="N193" s="18">
        <f>'Базовые концовки'!L74</f>
        <v>0</v>
      </c>
      <c r="R193" s="18">
        <f>'Базовые концовки'!M74</f>
        <v>0</v>
      </c>
    </row>
    <row r="194" spans="2:18" ht="10.5" hidden="1">
      <c r="B194" s="8" t="s">
        <v>84</v>
      </c>
      <c r="E194" s="17"/>
      <c r="F194" s="18">
        <f>'Базовые концовки'!F75</f>
        <v>0</v>
      </c>
      <c r="G194" s="18"/>
      <c r="H194" s="18"/>
      <c r="J194" s="7"/>
      <c r="N194" s="18"/>
      <c r="R194" s="18"/>
    </row>
    <row r="195" spans="2:18" ht="10.5">
      <c r="B195" s="8" t="s">
        <v>113</v>
      </c>
      <c r="E195" s="17"/>
      <c r="F195" s="18" t="e">
        <f>'Базовые концовки'!F76</f>
        <v>#NAME?</v>
      </c>
      <c r="G195" s="18">
        <f>'Базовые концовки'!G76</f>
        <v>0</v>
      </c>
      <c r="H195" s="18">
        <f>'Базовые концовки'!H76</f>
        <v>0</v>
      </c>
      <c r="J195" s="7">
        <f>'Базовые концовки'!J76</f>
        <v>0</v>
      </c>
      <c r="N195" s="18">
        <f>'Базовые концовки'!L76</f>
        <v>0</v>
      </c>
      <c r="R195" s="18">
        <f>'Базовые концовки'!M76</f>
        <v>0</v>
      </c>
    </row>
    <row r="196" spans="2:18" ht="10.5" hidden="1">
      <c r="B196" s="8" t="s">
        <v>114</v>
      </c>
      <c r="E196" s="17"/>
      <c r="F196" s="18">
        <f>'Базовые концовки'!F77</f>
        <v>0</v>
      </c>
      <c r="G196" s="18"/>
      <c r="H196" s="18"/>
      <c r="J196" s="7"/>
      <c r="N196" s="18"/>
      <c r="R196" s="18"/>
    </row>
    <row r="197" spans="2:18" ht="10.5">
      <c r="B197" s="8" t="s">
        <v>115</v>
      </c>
      <c r="E197" s="17"/>
      <c r="F197" s="18">
        <f>'Базовые концовки'!F78</f>
        <v>278.46</v>
      </c>
      <c r="G197" s="18"/>
      <c r="H197" s="18"/>
      <c r="J197" s="7"/>
      <c r="N197" s="18"/>
      <c r="R197" s="18"/>
    </row>
    <row r="198" spans="2:18" ht="10.5">
      <c r="B198" s="8" t="s">
        <v>116</v>
      </c>
      <c r="E198" s="17"/>
      <c r="F198" s="18">
        <f>'Базовые концовки'!F79</f>
        <v>186.2</v>
      </c>
      <c r="G198" s="18"/>
      <c r="H198" s="18"/>
      <c r="J198" s="7"/>
      <c r="N198" s="18"/>
      <c r="R198" s="18"/>
    </row>
    <row r="199" spans="2:18" ht="10.5">
      <c r="B199" s="8" t="s">
        <v>117</v>
      </c>
      <c r="E199" s="17">
        <v>3.45</v>
      </c>
      <c r="F199" s="18" t="e">
        <f>'Базовые концовки'!F80</f>
        <v>#NAME?</v>
      </c>
      <c r="G199" s="18"/>
      <c r="H199" s="18"/>
      <c r="J199" s="7"/>
      <c r="N199" s="18"/>
      <c r="R199" s="18"/>
    </row>
    <row r="200" spans="2:18" ht="10.5">
      <c r="B200" s="8" t="s">
        <v>118</v>
      </c>
      <c r="E200" s="17">
        <v>18</v>
      </c>
      <c r="F200" s="18" t="e">
        <f>'Базовые концовки'!F81</f>
        <v>#NAME?</v>
      </c>
      <c r="G200" s="18"/>
      <c r="H200" s="18"/>
      <c r="J200" s="7"/>
      <c r="N200" s="18"/>
      <c r="R200" s="18"/>
    </row>
    <row r="201" spans="2:18" ht="10.5">
      <c r="B201" s="8" t="s">
        <v>119</v>
      </c>
      <c r="E201" s="17"/>
      <c r="F201" s="18" t="e">
        <f>'Базовые концовки'!F82</f>
        <v>#NAME?</v>
      </c>
      <c r="G201" s="18"/>
      <c r="H201" s="18"/>
      <c r="J201" s="7"/>
      <c r="N201" s="18"/>
      <c r="R201" s="18"/>
    </row>
    <row r="202" spans="2:18" ht="10.5" hidden="1">
      <c r="B202" s="8" t="s">
        <v>120</v>
      </c>
      <c r="E202" s="17"/>
      <c r="F202" s="18"/>
      <c r="G202" s="18"/>
      <c r="H202" s="18"/>
      <c r="J202" s="7"/>
      <c r="N202" s="18">
        <f>'Базовые концовки'!L83</f>
        <v>0</v>
      </c>
      <c r="R202" s="18"/>
    </row>
    <row r="203" spans="2:18" ht="10.5" hidden="1">
      <c r="B203" s="8" t="s">
        <v>121</v>
      </c>
      <c r="E203" s="17"/>
      <c r="F203" s="18">
        <f>'Базовые концовки'!F84</f>
        <v>260.83</v>
      </c>
      <c r="G203" s="18"/>
      <c r="H203" s="18"/>
      <c r="J203" s="7"/>
      <c r="N203" s="18"/>
      <c r="R203" s="18"/>
    </row>
    <row r="204" spans="2:18" ht="10.5" hidden="1">
      <c r="B204" s="8" t="s">
        <v>122</v>
      </c>
      <c r="E204" s="17"/>
      <c r="F204" s="18">
        <f>'Базовые концовки'!F85</f>
        <v>0.69</v>
      </c>
      <c r="G204" s="18"/>
      <c r="H204" s="18"/>
      <c r="J204" s="7"/>
      <c r="N204" s="18"/>
      <c r="R204" s="18"/>
    </row>
    <row r="205" spans="2:18" ht="10.5" hidden="1">
      <c r="B205" s="8" t="s">
        <v>123</v>
      </c>
      <c r="E205" s="17"/>
      <c r="F205" s="18">
        <f>'Базовые концовки'!F86</f>
        <v>261.52</v>
      </c>
      <c r="G205" s="18"/>
      <c r="H205" s="18"/>
      <c r="J205" s="7"/>
      <c r="N205" s="18"/>
      <c r="R205" s="18"/>
    </row>
    <row r="206" spans="2:18" ht="10.5" hidden="1">
      <c r="B206" s="8" t="s">
        <v>124</v>
      </c>
      <c r="E206" s="17"/>
      <c r="F206" s="18"/>
      <c r="G206" s="18"/>
      <c r="H206" s="18"/>
      <c r="J206" s="7" t="e">
        <f>'Базовые концовки'!J87</f>
        <v>#NAME?</v>
      </c>
      <c r="N206" s="18"/>
      <c r="R206" s="18"/>
    </row>
    <row r="207" spans="2:18" ht="10.5" hidden="1">
      <c r="B207" s="8" t="s">
        <v>125</v>
      </c>
      <c r="E207" s="17"/>
      <c r="F207" s="18"/>
      <c r="G207" s="18"/>
      <c r="H207" s="18"/>
      <c r="J207" s="7" t="e">
        <f>'Базовые концовки'!J88</f>
        <v>#NAME?</v>
      </c>
      <c r="N207" s="18"/>
      <c r="R207" s="18"/>
    </row>
    <row r="208" spans="2:18" ht="10.5" hidden="1">
      <c r="B208" s="8" t="s">
        <v>126</v>
      </c>
      <c r="E208" s="17"/>
      <c r="F208" s="18"/>
      <c r="G208" s="18"/>
      <c r="H208" s="18"/>
      <c r="J208" s="7" t="e">
        <f>'Базовые концовки'!J89</f>
        <v>#NAME?</v>
      </c>
      <c r="N208" s="18"/>
      <c r="R208" s="18"/>
    </row>
    <row r="210" spans="2:12" ht="10.5">
      <c r="B210" s="5" t="s">
        <v>127</v>
      </c>
      <c r="C210" s="52"/>
      <c r="D210" s="53"/>
      <c r="E210" s="53"/>
      <c r="F210" s="53"/>
      <c r="G210" s="53"/>
      <c r="H210" s="53"/>
      <c r="I210" s="53"/>
      <c r="J210" s="53"/>
      <c r="K210" s="53"/>
      <c r="L210" s="53"/>
    </row>
    <row r="211" spans="3:12" ht="10.5">
      <c r="C211" s="54" t="s">
        <v>319</v>
      </c>
      <c r="D211" s="54"/>
      <c r="E211" s="54"/>
      <c r="F211" s="54"/>
      <c r="G211" s="54"/>
      <c r="H211" s="54"/>
      <c r="I211" s="54"/>
      <c r="J211" s="54"/>
      <c r="K211" s="54"/>
      <c r="L211" s="54"/>
    </row>
    <row r="213" spans="1:12" ht="10.5">
      <c r="A213" s="21"/>
      <c r="B213" s="5" t="s">
        <v>128</v>
      </c>
      <c r="C213" s="52"/>
      <c r="D213" s="53"/>
      <c r="E213" s="53"/>
      <c r="F213" s="53"/>
      <c r="G213" s="53"/>
      <c r="H213" s="53"/>
      <c r="I213" s="53"/>
      <c r="J213" s="53"/>
      <c r="K213" s="53"/>
      <c r="L213" s="53"/>
    </row>
    <row r="214" spans="3:12" ht="10.5">
      <c r="C214" s="55" t="s">
        <v>319</v>
      </c>
      <c r="D214" s="55"/>
      <c r="E214" s="55"/>
      <c r="F214" s="55"/>
      <c r="G214" s="55"/>
      <c r="H214" s="55"/>
      <c r="I214" s="55"/>
      <c r="J214" s="55"/>
      <c r="K214" s="55"/>
      <c r="L214" s="55"/>
    </row>
  </sheetData>
  <sheetProtection/>
  <mergeCells count="119">
    <mergeCell ref="C210:L210"/>
    <mergeCell ref="C211:L211"/>
    <mergeCell ref="C213:L213"/>
    <mergeCell ref="C214:L214"/>
    <mergeCell ref="A5:D5"/>
    <mergeCell ref="F5:I5"/>
    <mergeCell ref="A6:D6"/>
    <mergeCell ref="F6:I6"/>
    <mergeCell ref="A3:D3"/>
    <mergeCell ref="F3:I3"/>
    <mergeCell ref="A4:B4"/>
    <mergeCell ref="F4:G4"/>
    <mergeCell ref="A9:D9"/>
    <mergeCell ref="F9:I9"/>
    <mergeCell ref="A13:J13"/>
    <mergeCell ref="A15:J15"/>
    <mergeCell ref="A14:J14"/>
    <mergeCell ref="A7:D7"/>
    <mergeCell ref="F7:I7"/>
    <mergeCell ref="A8:D8"/>
    <mergeCell ref="F8:I8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N37:N38"/>
    <mergeCell ref="F37:F38"/>
    <mergeCell ref="A26:A27"/>
    <mergeCell ref="B26:B27"/>
    <mergeCell ref="C26:C27"/>
    <mergeCell ref="G26:G27"/>
    <mergeCell ref="N26:N27"/>
    <mergeCell ref="F26:F27"/>
    <mergeCell ref="B28:J28"/>
    <mergeCell ref="B29:J29"/>
    <mergeCell ref="A37:A38"/>
    <mergeCell ref="B49:J49"/>
    <mergeCell ref="B39:J39"/>
    <mergeCell ref="A47:A48"/>
    <mergeCell ref="B47:B48"/>
    <mergeCell ref="C47:C48"/>
    <mergeCell ref="G47:G48"/>
    <mergeCell ref="B37:B38"/>
    <mergeCell ref="C37:C38"/>
    <mergeCell ref="G37:G38"/>
    <mergeCell ref="C67:C68"/>
    <mergeCell ref="G67:G68"/>
    <mergeCell ref="B57:B58"/>
    <mergeCell ref="C57:C58"/>
    <mergeCell ref="G57:G58"/>
    <mergeCell ref="N47:N48"/>
    <mergeCell ref="F47:F48"/>
    <mergeCell ref="N57:N58"/>
    <mergeCell ref="F57:F58"/>
    <mergeCell ref="B77:B78"/>
    <mergeCell ref="C77:C78"/>
    <mergeCell ref="G77:G78"/>
    <mergeCell ref="N67:N68"/>
    <mergeCell ref="F67:F68"/>
    <mergeCell ref="A57:A58"/>
    <mergeCell ref="B69:J69"/>
    <mergeCell ref="B59:J59"/>
    <mergeCell ref="A67:A68"/>
    <mergeCell ref="B67:B68"/>
    <mergeCell ref="N77:N78"/>
    <mergeCell ref="F77:F78"/>
    <mergeCell ref="B79:J79"/>
    <mergeCell ref="A87:A88"/>
    <mergeCell ref="B87:B88"/>
    <mergeCell ref="C87:C88"/>
    <mergeCell ref="G87:G88"/>
    <mergeCell ref="N87:N88"/>
    <mergeCell ref="F87:F88"/>
    <mergeCell ref="A77:A78"/>
    <mergeCell ref="A96:A97"/>
    <mergeCell ref="B96:B97"/>
    <mergeCell ref="C96:C97"/>
    <mergeCell ref="G96:G97"/>
    <mergeCell ref="F96:F97"/>
    <mergeCell ref="A105:A106"/>
    <mergeCell ref="B105:B106"/>
    <mergeCell ref="A114:A115"/>
    <mergeCell ref="B114:B115"/>
    <mergeCell ref="C114:C115"/>
    <mergeCell ref="G105:G106"/>
    <mergeCell ref="N105:N106"/>
    <mergeCell ref="F105:F106"/>
    <mergeCell ref="G114:G115"/>
    <mergeCell ref="F114:F115"/>
    <mergeCell ref="E123:E124"/>
    <mergeCell ref="F123:F124"/>
    <mergeCell ref="G123:G124"/>
    <mergeCell ref="C105:C106"/>
    <mergeCell ref="E158:E159"/>
    <mergeCell ref="F158:F159"/>
    <mergeCell ref="G158:G159"/>
    <mergeCell ref="N158:N159"/>
    <mergeCell ref="I158:I159"/>
    <mergeCell ref="E145:E146"/>
    <mergeCell ref="F145:F146"/>
    <mergeCell ref="G145:G146"/>
    <mergeCell ref="N145:N146"/>
    <mergeCell ref="I145:I146"/>
    <mergeCell ref="R158:R159"/>
    <mergeCell ref="H17:I17"/>
    <mergeCell ref="H18:I18"/>
    <mergeCell ref="H19:I19"/>
    <mergeCell ref="R123:R124"/>
    <mergeCell ref="R145:R146"/>
    <mergeCell ref="N114:N115"/>
    <mergeCell ref="N123:N124"/>
    <mergeCell ref="I123:I124"/>
    <mergeCell ref="N96:N97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129</v>
      </c>
      <c r="C1" s="24" t="s">
        <v>130</v>
      </c>
      <c r="D1" s="24" t="s">
        <v>131</v>
      </c>
      <c r="E1" s="24" t="s">
        <v>132</v>
      </c>
      <c r="F1" s="24" t="s">
        <v>133</v>
      </c>
      <c r="G1" s="24" t="s">
        <v>134</v>
      </c>
      <c r="H1" s="24" t="s">
        <v>135</v>
      </c>
      <c r="I1" s="24" t="s">
        <v>136</v>
      </c>
      <c r="J1" s="24" t="s">
        <v>137</v>
      </c>
      <c r="K1" s="24" t="s">
        <v>138</v>
      </c>
      <c r="L1" s="24" t="s">
        <v>139</v>
      </c>
      <c r="M1" s="24" t="s">
        <v>140</v>
      </c>
      <c r="N1" s="24" t="s">
        <v>141</v>
      </c>
      <c r="O1" s="24" t="s">
        <v>142</v>
      </c>
      <c r="P1" s="24" t="s">
        <v>143</v>
      </c>
      <c r="Q1" s="24" t="s">
        <v>144</v>
      </c>
      <c r="R1" s="24" t="s">
        <v>145</v>
      </c>
      <c r="S1" s="24" t="s">
        <v>146</v>
      </c>
      <c r="T1" s="24" t="s">
        <v>147</v>
      </c>
      <c r="U1" s="24" t="s">
        <v>148</v>
      </c>
      <c r="V1" s="24" t="s">
        <v>149</v>
      </c>
      <c r="X1" s="24" t="s">
        <v>150</v>
      </c>
      <c r="Y1" s="24" t="s">
        <v>151</v>
      </c>
      <c r="Z1" s="24" t="s">
        <v>152</v>
      </c>
      <c r="AA1" s="24" t="s">
        <v>153</v>
      </c>
      <c r="AB1" s="24" t="s">
        <v>154</v>
      </c>
      <c r="AC1" s="24" t="s">
        <v>155</v>
      </c>
      <c r="AD1" s="24" t="s">
        <v>156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157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158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2" t="str">
        <f>'Форма 4'!A26</f>
        <v>1.</v>
      </c>
      <c r="B6" s="22">
        <f aca="true" t="shared" si="0" ref="B6:B15">ROUND(C6+D6+F6,2)</f>
        <v>195.37</v>
      </c>
      <c r="C6" s="22">
        <f>'Форма 4'!D27</f>
        <v>195.37</v>
      </c>
      <c r="D6" s="22">
        <f>'Форма 4'!E26</f>
        <v>0</v>
      </c>
      <c r="E6" s="22">
        <f>'Форма 4'!E27</f>
        <v>0</v>
      </c>
      <c r="F6" s="22">
        <v>0</v>
      </c>
      <c r="G6" s="22">
        <v>0</v>
      </c>
      <c r="H6" s="22">
        <v>0</v>
      </c>
      <c r="I6" s="23">
        <f>'Форма 4'!I26</f>
        <v>19.8145</v>
      </c>
      <c r="J6" s="23">
        <v>0</v>
      </c>
      <c r="K6" s="23">
        <f>'Форма 4'!I27</f>
        <v>0</v>
      </c>
      <c r="L6" s="22">
        <v>0</v>
      </c>
      <c r="M6" s="22">
        <v>0</v>
      </c>
      <c r="N6" s="22">
        <v>185.6</v>
      </c>
      <c r="O6" s="22">
        <v>84.01</v>
      </c>
      <c r="P6" s="22">
        <v>185.6</v>
      </c>
      <c r="Q6" s="22">
        <v>0</v>
      </c>
      <c r="R6" s="22">
        <v>84.01</v>
      </c>
      <c r="S6" s="22">
        <v>0</v>
      </c>
      <c r="T6" s="22">
        <v>0</v>
      </c>
      <c r="U6" s="22">
        <v>0</v>
      </c>
      <c r="V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</row>
    <row r="7" spans="1:30" ht="10.5">
      <c r="A7" s="22" t="str">
        <f>'Форма 4'!A37</f>
        <v>2.</v>
      </c>
      <c r="B7" s="22">
        <f t="shared" si="0"/>
        <v>294.77</v>
      </c>
      <c r="C7" s="22">
        <f>'Форма 4'!D38</f>
        <v>0</v>
      </c>
      <c r="D7" s="22">
        <f>'Форма 4'!E37</f>
        <v>0</v>
      </c>
      <c r="E7" s="22">
        <f>'Форма 4'!E38</f>
        <v>0</v>
      </c>
      <c r="F7" s="22">
        <v>294.77</v>
      </c>
      <c r="G7" s="22">
        <v>0</v>
      </c>
      <c r="H7" s="22">
        <v>0</v>
      </c>
      <c r="I7" s="23">
        <f>'Форма 4'!I37</f>
        <v>0</v>
      </c>
      <c r="J7" s="23">
        <v>0</v>
      </c>
      <c r="K7" s="23">
        <f>'Форма 4'!I38</f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</row>
    <row r="8" spans="1:30" ht="10.5">
      <c r="A8" s="22" t="str">
        <f>'Форма 4'!A47</f>
        <v>3.</v>
      </c>
      <c r="B8" s="22">
        <f t="shared" si="0"/>
        <v>4.1</v>
      </c>
      <c r="C8" s="22">
        <f>'Форма 4'!D48</f>
        <v>3.55</v>
      </c>
      <c r="D8" s="22">
        <f>'Форма 4'!E47</f>
        <v>0.55</v>
      </c>
      <c r="E8" s="22">
        <f>'Форма 4'!E48</f>
        <v>0.02</v>
      </c>
      <c r="F8" s="22">
        <v>0</v>
      </c>
      <c r="G8" s="22">
        <v>0</v>
      </c>
      <c r="H8" s="22">
        <v>0</v>
      </c>
      <c r="I8" s="23">
        <f>'Форма 4'!I47</f>
        <v>0.3052</v>
      </c>
      <c r="J8" s="23">
        <v>0</v>
      </c>
      <c r="K8" s="23">
        <f>'Форма 4'!I48</f>
        <v>0.00088</v>
      </c>
      <c r="L8" s="22">
        <v>0</v>
      </c>
      <c r="M8" s="22">
        <v>0</v>
      </c>
      <c r="N8" s="22">
        <v>4.11</v>
      </c>
      <c r="O8" s="22">
        <v>2.53</v>
      </c>
      <c r="P8" s="22">
        <v>4.08</v>
      </c>
      <c r="Q8" s="22">
        <v>0.03</v>
      </c>
      <c r="R8" s="22">
        <v>2.52</v>
      </c>
      <c r="S8" s="22">
        <v>0.01</v>
      </c>
      <c r="T8" s="22">
        <v>0</v>
      </c>
      <c r="U8" s="22">
        <v>0</v>
      </c>
      <c r="V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ht="10.5">
      <c r="A9" s="22" t="str">
        <f>'Форма 4'!A57</f>
        <v>4.</v>
      </c>
      <c r="B9" s="22">
        <f t="shared" si="0"/>
        <v>175.47</v>
      </c>
      <c r="C9" s="22">
        <f>'Форма 4'!D58</f>
        <v>12.11</v>
      </c>
      <c r="D9" s="22">
        <f>'Форма 4'!E57</f>
        <v>7.11</v>
      </c>
      <c r="E9" s="22">
        <f>'Форма 4'!E58</f>
        <v>0.78</v>
      </c>
      <c r="F9" s="22">
        <v>156.25</v>
      </c>
      <c r="G9" s="22">
        <v>0</v>
      </c>
      <c r="H9" s="22">
        <v>0</v>
      </c>
      <c r="I9" s="23">
        <f>'Форма 4'!I57</f>
        <v>1.173</v>
      </c>
      <c r="J9" s="23">
        <v>0</v>
      </c>
      <c r="K9" s="23">
        <f>'Форма 4'!I58</f>
        <v>0.06375</v>
      </c>
      <c r="L9" s="22">
        <v>0</v>
      </c>
      <c r="M9" s="22">
        <v>0</v>
      </c>
      <c r="N9" s="22">
        <v>16.76</v>
      </c>
      <c r="O9" s="22">
        <v>9.8</v>
      </c>
      <c r="P9" s="22">
        <v>15.74</v>
      </c>
      <c r="Q9" s="22">
        <v>1.02</v>
      </c>
      <c r="R9" s="22">
        <v>9.2</v>
      </c>
      <c r="S9" s="22">
        <v>0.6</v>
      </c>
      <c r="T9" s="22">
        <v>0</v>
      </c>
      <c r="U9" s="22">
        <v>0</v>
      </c>
      <c r="V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</row>
    <row r="10" spans="1:30" ht="10.5">
      <c r="A10" s="22" t="str">
        <f>'Форма 4'!A67</f>
        <v>5.</v>
      </c>
      <c r="B10" s="22">
        <f t="shared" si="0"/>
        <v>107.07</v>
      </c>
      <c r="C10" s="22">
        <f>'Форма 4'!D68</f>
        <v>10.2</v>
      </c>
      <c r="D10" s="22">
        <f>'Форма 4'!E67</f>
        <v>1.73</v>
      </c>
      <c r="E10" s="22">
        <f>'Форма 4'!E68</f>
        <v>0.05</v>
      </c>
      <c r="F10" s="22">
        <v>95.14</v>
      </c>
      <c r="G10" s="22">
        <v>0</v>
      </c>
      <c r="H10" s="22">
        <v>0</v>
      </c>
      <c r="I10" s="23">
        <f>'Форма 4'!I67</f>
        <v>0.87745</v>
      </c>
      <c r="J10" s="23">
        <v>0</v>
      </c>
      <c r="K10" s="23">
        <f>'Форма 4'!I68</f>
        <v>0.00275</v>
      </c>
      <c r="L10" s="22">
        <v>0</v>
      </c>
      <c r="M10" s="22">
        <v>0</v>
      </c>
      <c r="N10" s="22">
        <v>11.79</v>
      </c>
      <c r="O10" s="22">
        <v>7.28</v>
      </c>
      <c r="P10" s="22">
        <v>11.73</v>
      </c>
      <c r="Q10" s="22">
        <v>0.06</v>
      </c>
      <c r="R10" s="22">
        <v>7.24</v>
      </c>
      <c r="S10" s="22">
        <v>0.04</v>
      </c>
      <c r="T10" s="22">
        <v>0</v>
      </c>
      <c r="U10" s="22">
        <v>0</v>
      </c>
      <c r="V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</row>
    <row r="11" spans="1:30" ht="10.5">
      <c r="A11" s="22" t="str">
        <f>'Форма 4'!A77</f>
        <v>6.</v>
      </c>
      <c r="B11" s="22">
        <f t="shared" si="0"/>
        <v>0</v>
      </c>
      <c r="C11" s="22">
        <f>'Форма 4'!D78</f>
        <v>0</v>
      </c>
      <c r="D11" s="22">
        <f>'Форма 4'!E77</f>
        <v>0</v>
      </c>
      <c r="E11" s="22">
        <f>'Форма 4'!E78</f>
        <v>0</v>
      </c>
      <c r="F11" s="22">
        <v>0</v>
      </c>
      <c r="G11" s="22">
        <v>0</v>
      </c>
      <c r="H11" s="22">
        <v>0</v>
      </c>
      <c r="I11" s="23">
        <f>'Форма 4'!I77</f>
        <v>0</v>
      </c>
      <c r="J11" s="23">
        <v>0</v>
      </c>
      <c r="K11" s="23">
        <f>'Форма 4'!I78</f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</row>
    <row r="12" spans="1:30" ht="10.5">
      <c r="A12" s="22" t="str">
        <f>'Форма 4'!A87</f>
        <v>7.</v>
      </c>
      <c r="B12" s="22">
        <f t="shared" si="0"/>
        <v>1617</v>
      </c>
      <c r="C12" s="22">
        <f>'Форма 4'!D88</f>
        <v>402</v>
      </c>
      <c r="D12" s="22">
        <f>'Форма 4'!E87</f>
        <v>0</v>
      </c>
      <c r="E12" s="22">
        <f>'Форма 4'!E88</f>
        <v>0</v>
      </c>
      <c r="F12" s="22">
        <v>1215</v>
      </c>
      <c r="G12" s="22">
        <v>0</v>
      </c>
      <c r="H12" s="22">
        <v>0</v>
      </c>
      <c r="I12" s="23">
        <f>'Форма 4'!I87</f>
        <v>40</v>
      </c>
      <c r="J12" s="23">
        <v>0</v>
      </c>
      <c r="K12" s="23">
        <f>'Форма 4'!I88</f>
        <v>0</v>
      </c>
      <c r="L12" s="22">
        <v>0</v>
      </c>
      <c r="M12" s="22">
        <v>0</v>
      </c>
      <c r="N12" s="22">
        <v>418.08</v>
      </c>
      <c r="O12" s="22">
        <v>309.54</v>
      </c>
      <c r="P12" s="22">
        <v>418.08</v>
      </c>
      <c r="Q12" s="22">
        <v>0</v>
      </c>
      <c r="R12" s="22">
        <v>309.54</v>
      </c>
      <c r="S12" s="22">
        <v>0</v>
      </c>
      <c r="T12" s="22">
        <v>0</v>
      </c>
      <c r="U12" s="22">
        <v>0</v>
      </c>
      <c r="V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</row>
    <row r="13" spans="1:30" ht="10.5">
      <c r="A13" s="22" t="str">
        <f>'Форма 4'!A96</f>
        <v>8.</v>
      </c>
      <c r="B13" s="22">
        <f t="shared" si="0"/>
        <v>56.6</v>
      </c>
      <c r="C13" s="22">
        <f>'Форма 4'!D97</f>
        <v>0</v>
      </c>
      <c r="D13" s="22">
        <f>'Форма 4'!E96</f>
        <v>56.6</v>
      </c>
      <c r="E13" s="22">
        <f>'Форма 4'!E97</f>
        <v>0</v>
      </c>
      <c r="F13" s="22">
        <v>0</v>
      </c>
      <c r="G13" s="22">
        <v>0</v>
      </c>
      <c r="H13" s="22">
        <v>0</v>
      </c>
      <c r="I13" s="23">
        <f>'Форма 4'!I96</f>
        <v>0</v>
      </c>
      <c r="J13" s="23">
        <v>0</v>
      </c>
      <c r="K13" s="23">
        <f>'Форма 4'!I97</f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</row>
    <row r="14" spans="1:30" ht="10.5">
      <c r="A14" s="22" t="str">
        <f>'Форма 4'!A105</f>
        <v>9.</v>
      </c>
      <c r="B14" s="22">
        <f t="shared" si="0"/>
        <v>17.99</v>
      </c>
      <c r="C14" s="22">
        <f>'Форма 4'!D106</f>
        <v>0</v>
      </c>
      <c r="D14" s="22">
        <f>'Форма 4'!E105</f>
        <v>0</v>
      </c>
      <c r="E14" s="22">
        <f>'Форма 4'!E106</f>
        <v>0</v>
      </c>
      <c r="F14" s="22">
        <v>17.99</v>
      </c>
      <c r="G14" s="22">
        <v>0</v>
      </c>
      <c r="H14" s="22">
        <v>0</v>
      </c>
      <c r="I14" s="23">
        <f>'Форма 4'!I105</f>
        <v>0</v>
      </c>
      <c r="J14" s="23">
        <v>0</v>
      </c>
      <c r="K14" s="23">
        <f>'Форма 4'!I106</f>
        <v>0</v>
      </c>
      <c r="L14" s="22">
        <v>7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</row>
    <row r="15" spans="1:30" ht="10.5">
      <c r="A15" s="22" t="str">
        <f>'Форма 4'!A114</f>
        <v>10.</v>
      </c>
      <c r="B15" s="22">
        <f t="shared" si="0"/>
        <v>507.67</v>
      </c>
      <c r="C15" s="22">
        <f>'Форма 4'!D115</f>
        <v>332.3</v>
      </c>
      <c r="D15" s="22">
        <f>'Форма 4'!E114</f>
        <v>0.96</v>
      </c>
      <c r="E15" s="22">
        <f>'Форма 4'!E115</f>
        <v>0</v>
      </c>
      <c r="F15" s="22">
        <v>174.41</v>
      </c>
      <c r="G15" s="22">
        <v>0</v>
      </c>
      <c r="H15" s="22">
        <v>0</v>
      </c>
      <c r="I15" s="23">
        <f>'Форма 4'!I114</f>
        <v>32.2</v>
      </c>
      <c r="J15" s="23">
        <v>0</v>
      </c>
      <c r="K15" s="23">
        <f>'Форма 4'!I115</f>
        <v>0</v>
      </c>
      <c r="L15" s="22">
        <v>0</v>
      </c>
      <c r="M15" s="22">
        <v>0</v>
      </c>
      <c r="N15" s="22">
        <v>342.27</v>
      </c>
      <c r="O15" s="22">
        <v>199.38</v>
      </c>
      <c r="P15" s="22">
        <v>342.27</v>
      </c>
      <c r="Q15" s="22">
        <v>0</v>
      </c>
      <c r="R15" s="22">
        <v>199.38</v>
      </c>
      <c r="S15" s="22">
        <v>0</v>
      </c>
      <c r="T15" s="22">
        <v>0</v>
      </c>
      <c r="U15" s="22">
        <v>0</v>
      </c>
      <c r="V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129</v>
      </c>
      <c r="C1" s="24" t="s">
        <v>130</v>
      </c>
      <c r="D1" s="24" t="s">
        <v>131</v>
      </c>
      <c r="E1" s="24" t="s">
        <v>132</v>
      </c>
      <c r="F1" s="24" t="s">
        <v>133</v>
      </c>
      <c r="G1" s="24" t="s">
        <v>134</v>
      </c>
      <c r="H1" s="24" t="s">
        <v>135</v>
      </c>
      <c r="I1" s="24" t="s">
        <v>136</v>
      </c>
      <c r="J1" s="24" t="s">
        <v>137</v>
      </c>
      <c r="K1" s="24" t="s">
        <v>138</v>
      </c>
      <c r="L1" s="24" t="s">
        <v>139</v>
      </c>
      <c r="M1" s="24" t="s">
        <v>140</v>
      </c>
      <c r="N1" s="24" t="s">
        <v>141</v>
      </c>
      <c r="O1" s="24" t="s">
        <v>142</v>
      </c>
      <c r="P1" s="24" t="s">
        <v>143</v>
      </c>
      <c r="Q1" s="24" t="s">
        <v>144</v>
      </c>
      <c r="R1" s="24" t="s">
        <v>145</v>
      </c>
      <c r="S1" s="24" t="s">
        <v>146</v>
      </c>
      <c r="T1" s="24" t="s">
        <v>147</v>
      </c>
      <c r="U1" s="24" t="s">
        <v>148</v>
      </c>
      <c r="V1" s="24" t="s">
        <v>149</v>
      </c>
      <c r="X1" s="24" t="s">
        <v>150</v>
      </c>
      <c r="Y1" s="24" t="s">
        <v>151</v>
      </c>
      <c r="Z1" s="24" t="s">
        <v>152</v>
      </c>
      <c r="AA1" s="24" t="s">
        <v>153</v>
      </c>
      <c r="AB1" s="24" t="s">
        <v>154</v>
      </c>
      <c r="AC1" s="24" t="s">
        <v>155</v>
      </c>
      <c r="AD1" s="24" t="s">
        <v>156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157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158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2" t="str">
        <f>'Форма 4'!A26</f>
        <v>1.</v>
      </c>
      <c r="B6" s="22">
        <f aca="true" t="shared" si="0" ref="B6:B15">ROUND(C6+D6+F6,2)</f>
        <v>2.41</v>
      </c>
      <c r="C6" s="22">
        <f>ROUND('Форма 4'!C26*'Базовые цены за единицу'!C6,2)</f>
        <v>2.41</v>
      </c>
      <c r="D6" s="22">
        <f>ROUND('Форма 4'!C26*'Базовые цены за единицу'!D6,2)</f>
        <v>0</v>
      </c>
      <c r="E6" s="22">
        <f>ROUND('Форма 4'!C26*'Базовые цены за единицу'!E6,2)</f>
        <v>0</v>
      </c>
      <c r="F6" s="22">
        <f>ROUND('Форма 4'!C26*'Базовые цены за единицу'!F6,2)</f>
        <v>0</v>
      </c>
      <c r="G6" s="22">
        <f>ROUND('Форма 4'!C26*'Базовые цены за единицу'!G6,2)</f>
        <v>0</v>
      </c>
      <c r="H6" s="22">
        <f>ROUND('Форма 4'!C26*'Базовые цены за единицу'!H6,2)</f>
        <v>0</v>
      </c>
      <c r="I6" s="23" t="e">
        <f>ОКРУГЛВСЕ('Форма 4'!C26*'Базовые цены за единицу'!I6,8)</f>
        <v>#NAME?</v>
      </c>
      <c r="J6" s="23" t="e">
        <f>ОКРУГЛВСЕ('Форма 4'!C26*'Базовые цены за единицу'!J6,8)</f>
        <v>#NAME?</v>
      </c>
      <c r="K6" s="23" t="e">
        <f>ОКРУГЛВСЕ('Форма 4'!C26*'Базовые цены за единицу'!K6,8)</f>
        <v>#NAME?</v>
      </c>
      <c r="L6" s="22">
        <f>ROUND('Форма 4'!C26*'Базовые цены за единицу'!L6,2)</f>
        <v>0</v>
      </c>
      <c r="M6" s="22">
        <f>ROUND('Форма 4'!C26*'Базовые цены за единицу'!M6,2)</f>
        <v>0</v>
      </c>
      <c r="N6" s="22">
        <f>ROUND((C6+E6)*'Форма 4'!C30/100,2)</f>
        <v>2.29</v>
      </c>
      <c r="O6" s="22">
        <f>ROUND((C6+E6)*'Форма 4'!C33/100,2)</f>
        <v>1.04</v>
      </c>
      <c r="P6" s="22">
        <f>ROUND('Форма 4'!C26*'Базовые цены за единицу'!P6,2)</f>
        <v>2.29</v>
      </c>
      <c r="Q6" s="22">
        <f>ROUND('Форма 4'!C26*'Базовые цены за единицу'!Q6,2)</f>
        <v>0</v>
      </c>
      <c r="R6" s="22">
        <f>ROUND('Форма 4'!C26*'Базовые цены за единицу'!R6,2)</f>
        <v>1.04</v>
      </c>
      <c r="S6" s="22">
        <f>ROUND('Форма 4'!C26*'Базовые цены за единицу'!S6,2)</f>
        <v>0</v>
      </c>
      <c r="T6" s="22">
        <f>ROUND('Форма 4'!C26*'Базовые цены за единицу'!T6,2)</f>
        <v>0</v>
      </c>
      <c r="U6" s="22">
        <f>ROUND('Форма 4'!C26*'Базовые цены за единицу'!U6,2)</f>
        <v>0</v>
      </c>
      <c r="V6" s="22">
        <f>ROUND('Форма 4'!C26*'Базовые цены за единицу'!V6,2)</f>
        <v>0</v>
      </c>
      <c r="X6" s="22">
        <f>ROUND('Форма 4'!C26*'Базовые цены за единицу'!X6,2)</f>
        <v>0</v>
      </c>
      <c r="Y6" s="22">
        <f>IF(Определители!I6="9",ROUND((C6+E6)*(Начисления!M6/100)*('Форма 4'!C30/100),2),0)</f>
        <v>0</v>
      </c>
      <c r="Z6" s="22">
        <f>IF(Определители!I6="9",ROUND((C6+E6)*(100-Начисления!M6/100)*('Форма 4'!C30/100),2),0)</f>
        <v>0</v>
      </c>
      <c r="AA6" s="22">
        <f>IF(Определители!I6="9",ROUND((C6+E6)*(Начисления!M6/100)*('Форма 4'!C33/100),2),0)</f>
        <v>0</v>
      </c>
      <c r="AB6" s="22">
        <f>IF(Определители!I6="9",ROUND((C6+E6)*(100-Начисления!M6/100)*('Форма 4'!C33/100),2),0)</f>
        <v>0</v>
      </c>
      <c r="AC6" s="22">
        <f>IF(Определители!I6="9",ROUND(B6*Начисления!M6/100,2),0)</f>
        <v>0</v>
      </c>
      <c r="AD6" s="22">
        <f>IF(Определители!I6="9",ROUND(B6*(100-Начисления!M6)/100,2),0)</f>
        <v>0</v>
      </c>
    </row>
    <row r="7" spans="1:30" ht="10.5">
      <c r="A7" s="22" t="str">
        <f>'Форма 4'!A37</f>
        <v>2.</v>
      </c>
      <c r="B7" s="22">
        <f t="shared" si="0"/>
        <v>1768.62</v>
      </c>
      <c r="C7" s="22">
        <f>ROUND('Форма 4'!C37*'Базовые цены за единицу'!C7,2)</f>
        <v>0</v>
      </c>
      <c r="D7" s="22">
        <f>ROUND('Форма 4'!C37*'Базовые цены за единицу'!D7,2)</f>
        <v>0</v>
      </c>
      <c r="E7" s="22">
        <f>ROUND('Форма 4'!C37*'Базовые цены за единицу'!E7,2)</f>
        <v>0</v>
      </c>
      <c r="F7" s="22">
        <f>ROUND('Форма 4'!C37*'Базовые цены за единицу'!F7,2)</f>
        <v>1768.62</v>
      </c>
      <c r="G7" s="22">
        <f>ROUND('Форма 4'!C37*'Базовые цены за единицу'!G7,2)</f>
        <v>0</v>
      </c>
      <c r="H7" s="22">
        <f>ROUND('Форма 4'!C37*'Базовые цены за единицу'!H7,2)</f>
        <v>0</v>
      </c>
      <c r="I7" s="23" t="e">
        <f>ОКРУГЛВСЕ('Форма 4'!C37*'Базовые цены за единицу'!I7,8)</f>
        <v>#NAME?</v>
      </c>
      <c r="J7" s="23" t="e">
        <f>ОКРУГЛВСЕ('Форма 4'!C37*'Базовые цены за единицу'!J7,8)</f>
        <v>#NAME?</v>
      </c>
      <c r="K7" s="23" t="e">
        <f>ОКРУГЛВСЕ('Форма 4'!C37*'Базовые цены за единицу'!K7,8)</f>
        <v>#NAME?</v>
      </c>
      <c r="L7" s="22">
        <f>ROUND('Форма 4'!C37*'Базовые цены за единицу'!L7,2)</f>
        <v>0</v>
      </c>
      <c r="M7" s="22">
        <f>ROUND('Форма 4'!C37*'Базовые цены за единицу'!M7,2)</f>
        <v>0</v>
      </c>
      <c r="N7" s="22">
        <f>ROUND((C7+E7)*'Форма 4'!C40/100,2)</f>
        <v>0</v>
      </c>
      <c r="O7" s="22">
        <f>ROUND((C7+E7)*'Форма 4'!C43/100,2)</f>
        <v>0</v>
      </c>
      <c r="P7" s="22">
        <f>ROUND('Форма 4'!C37*'Базовые цены за единицу'!P7,2)</f>
        <v>0</v>
      </c>
      <c r="Q7" s="22">
        <f>ROUND('Форма 4'!C37*'Базовые цены за единицу'!Q7,2)</f>
        <v>0</v>
      </c>
      <c r="R7" s="22">
        <f>ROUND('Форма 4'!C37*'Базовые цены за единицу'!R7,2)</f>
        <v>0</v>
      </c>
      <c r="S7" s="22">
        <f>ROUND('Форма 4'!C37*'Базовые цены за единицу'!S7,2)</f>
        <v>0</v>
      </c>
      <c r="T7" s="22">
        <f>ROUND('Форма 4'!C37*'Базовые цены за единицу'!T7,2)</f>
        <v>0</v>
      </c>
      <c r="U7" s="22">
        <f>ROUND('Форма 4'!C37*'Базовые цены за единицу'!U7,2)</f>
        <v>0</v>
      </c>
      <c r="V7" s="22">
        <f>ROUND('Форма 4'!C37*'Базовые цены за единицу'!V7,2)</f>
        <v>0</v>
      </c>
      <c r="X7" s="22">
        <f>ROUND('Форма 4'!C37*'Базовые цены за единицу'!X7,2)</f>
        <v>0</v>
      </c>
      <c r="Y7" s="22">
        <f>IF(Определители!I7="9",ROUND((C7+E7)*(Начисления!M7/100)*('Форма 4'!C40/100),2),0)</f>
        <v>0</v>
      </c>
      <c r="Z7" s="22">
        <f>IF(Определители!I7="9",ROUND((C7+E7)*(100-Начисления!M7/100)*('Форма 4'!C40/100),2),0)</f>
        <v>0</v>
      </c>
      <c r="AA7" s="22">
        <f>IF(Определители!I7="9",ROUND((C7+E7)*(Начисления!M7/100)*('Форма 4'!C43/100),2),0)</f>
        <v>0</v>
      </c>
      <c r="AB7" s="22">
        <f>IF(Определители!I7="9",ROUND((C7+E7)*(100-Начисления!M7/100)*('Форма 4'!C43/100),2),0)</f>
        <v>0</v>
      </c>
      <c r="AC7" s="22">
        <f>IF(Определители!I7="9",ROUND(B7*Начисления!M7/100,2),0)</f>
        <v>0</v>
      </c>
      <c r="AD7" s="22">
        <f>IF(Определители!I7="9",ROUND(B7*(100-Начисления!M7)/100,2),0)</f>
        <v>0</v>
      </c>
    </row>
    <row r="8" spans="1:30" ht="10.5">
      <c r="A8" s="22" t="str">
        <f>'Форма 4'!A47</f>
        <v>3.</v>
      </c>
      <c r="B8" s="22">
        <f t="shared" si="0"/>
        <v>14.76</v>
      </c>
      <c r="C8" s="22">
        <f>ROUND('Форма 4'!C47*'Базовые цены за единицу'!C8,2)</f>
        <v>12.78</v>
      </c>
      <c r="D8" s="22">
        <f>ROUND('Форма 4'!C47*'Базовые цены за единицу'!D8,2)</f>
        <v>1.98</v>
      </c>
      <c r="E8" s="22">
        <f>ROUND('Форма 4'!C47*'Базовые цены за единицу'!E8,2)</f>
        <v>0.07</v>
      </c>
      <c r="F8" s="22">
        <f>ROUND('Форма 4'!C47*'Базовые цены за единицу'!F8,2)</f>
        <v>0</v>
      </c>
      <c r="G8" s="22">
        <f>ROUND('Форма 4'!C47*'Базовые цены за единицу'!G8,2)</f>
        <v>0</v>
      </c>
      <c r="H8" s="22">
        <f>ROUND('Форма 4'!C47*'Базовые цены за единицу'!H8,2)</f>
        <v>0</v>
      </c>
      <c r="I8" s="23" t="e">
        <f>ОКРУГЛВСЕ('Форма 4'!C47*'Базовые цены за единицу'!I8,8)</f>
        <v>#NAME?</v>
      </c>
      <c r="J8" s="23" t="e">
        <f>ОКРУГЛВСЕ('Форма 4'!C47*'Базовые цены за единицу'!J8,8)</f>
        <v>#NAME?</v>
      </c>
      <c r="K8" s="23" t="e">
        <f>ОКРУГЛВСЕ('Форма 4'!C47*'Базовые цены за единицу'!K8,8)</f>
        <v>#NAME?</v>
      </c>
      <c r="L8" s="22">
        <f>ROUND('Форма 4'!C47*'Базовые цены за единицу'!L8,2)</f>
        <v>0</v>
      </c>
      <c r="M8" s="22">
        <f>ROUND('Форма 4'!C47*'Базовые цены за единицу'!M8,2)</f>
        <v>0</v>
      </c>
      <c r="N8" s="22">
        <f>ROUND((C8+E8)*'Форма 4'!C50/100,2)</f>
        <v>14.78</v>
      </c>
      <c r="O8" s="22">
        <f>ROUND((C8+E8)*'Форма 4'!C53/100,2)</f>
        <v>9.12</v>
      </c>
      <c r="P8" s="22">
        <f>ROUND('Форма 4'!C47*'Базовые цены за единицу'!P8,2)</f>
        <v>14.69</v>
      </c>
      <c r="Q8" s="22">
        <f>ROUND('Форма 4'!C47*'Базовые цены за единицу'!Q8,2)</f>
        <v>0.11</v>
      </c>
      <c r="R8" s="22">
        <f>ROUND('Форма 4'!C47*'Базовые цены за единицу'!R8,2)</f>
        <v>9.07</v>
      </c>
      <c r="S8" s="22">
        <f>ROUND('Форма 4'!C47*'Базовые цены за единицу'!S8,2)</f>
        <v>0.04</v>
      </c>
      <c r="T8" s="22">
        <f>ROUND('Форма 4'!C47*'Базовые цены за единицу'!T8,2)</f>
        <v>0</v>
      </c>
      <c r="U8" s="22">
        <f>ROUND('Форма 4'!C47*'Базовые цены за единицу'!U8,2)</f>
        <v>0</v>
      </c>
      <c r="V8" s="22">
        <f>ROUND('Форма 4'!C47*'Базовые цены за единицу'!V8,2)</f>
        <v>0</v>
      </c>
      <c r="X8" s="22">
        <f>ROUND('Форма 4'!C47*'Базовые цены за единицу'!X8,2)</f>
        <v>0</v>
      </c>
      <c r="Y8" s="22">
        <f>IF(Определители!I8="9",ROUND((C8+E8)*(Начисления!M8/100)*('Форма 4'!C50/100),2),0)</f>
        <v>0</v>
      </c>
      <c r="Z8" s="22">
        <f>IF(Определители!I8="9",ROUND((C8+E8)*(100-Начисления!M8/100)*('Форма 4'!C50/100),2),0)</f>
        <v>0</v>
      </c>
      <c r="AA8" s="22">
        <f>IF(Определители!I8="9",ROUND((C8+E8)*(Начисления!M8/100)*('Форма 4'!C53/100),2),0)</f>
        <v>0</v>
      </c>
      <c r="AB8" s="22">
        <f>IF(Определители!I8="9",ROUND((C8+E8)*(100-Начисления!M8/100)*('Форма 4'!C53/100),2),0)</f>
        <v>0</v>
      </c>
      <c r="AC8" s="22">
        <f>IF(Определители!I8="9",ROUND(B8*Начисления!M8/100,2),0)</f>
        <v>0</v>
      </c>
      <c r="AD8" s="22">
        <f>IF(Определители!I8="9",ROUND(B8*(100-Начисления!M8)/100,2),0)</f>
        <v>0</v>
      </c>
    </row>
    <row r="9" spans="1:30" ht="10.5">
      <c r="A9" s="22" t="str">
        <f>'Форма 4'!A57</f>
        <v>4.</v>
      </c>
      <c r="B9" s="22">
        <f t="shared" si="0"/>
        <v>98.26</v>
      </c>
      <c r="C9" s="22">
        <f>ROUND('Форма 4'!C57*'Базовые цены за единицу'!C9,2)</f>
        <v>6.78</v>
      </c>
      <c r="D9" s="22">
        <f>ROUND('Форма 4'!C57*'Базовые цены за единицу'!D9,2)</f>
        <v>3.98</v>
      </c>
      <c r="E9" s="22">
        <f>ROUND('Форма 4'!C57*'Базовые цены за единицу'!E9,2)</f>
        <v>0.44</v>
      </c>
      <c r="F9" s="22">
        <f>ROUND('Форма 4'!C57*'Базовые цены за единицу'!F9,2)</f>
        <v>87.5</v>
      </c>
      <c r="G9" s="22">
        <f>ROUND('Форма 4'!C57*'Базовые цены за единицу'!G9,2)</f>
        <v>0</v>
      </c>
      <c r="H9" s="22">
        <f>ROUND('Форма 4'!C57*'Базовые цены за единицу'!H9,2)</f>
        <v>0</v>
      </c>
      <c r="I9" s="23" t="e">
        <f>ОКРУГЛВСЕ('Форма 4'!C57*'Базовые цены за единицу'!I9,8)</f>
        <v>#NAME?</v>
      </c>
      <c r="J9" s="23" t="e">
        <f>ОКРУГЛВСЕ('Форма 4'!C57*'Базовые цены за единицу'!J9,8)</f>
        <v>#NAME?</v>
      </c>
      <c r="K9" s="23" t="e">
        <f>ОКРУГЛВСЕ('Форма 4'!C57*'Базовые цены за единицу'!K9,8)</f>
        <v>#NAME?</v>
      </c>
      <c r="L9" s="22">
        <f>ROUND('Форма 4'!C57*'Базовые цены за единицу'!L9,2)</f>
        <v>0</v>
      </c>
      <c r="M9" s="22">
        <f>ROUND('Форма 4'!C57*'Базовые цены за единицу'!M9,2)</f>
        <v>0</v>
      </c>
      <c r="N9" s="22">
        <f>ROUND((C9+E9)*'Форма 4'!C60/100,2)</f>
        <v>9.39</v>
      </c>
      <c r="O9" s="22">
        <f>ROUND((C9+E9)*'Форма 4'!C63/100,2)</f>
        <v>5.49</v>
      </c>
      <c r="P9" s="22">
        <f>ROUND('Форма 4'!C57*'Базовые цены за единицу'!P9,2)</f>
        <v>8.81</v>
      </c>
      <c r="Q9" s="22">
        <f>ROUND('Форма 4'!C57*'Базовые цены за единицу'!Q9,2)</f>
        <v>0.57</v>
      </c>
      <c r="R9" s="22">
        <f>ROUND('Форма 4'!C57*'Базовые цены за единицу'!R9,2)</f>
        <v>5.15</v>
      </c>
      <c r="S9" s="22">
        <f>ROUND('Форма 4'!C57*'Базовые цены за единицу'!S9,2)</f>
        <v>0.34</v>
      </c>
      <c r="T9" s="22">
        <f>ROUND('Форма 4'!C57*'Базовые цены за единицу'!T9,2)</f>
        <v>0</v>
      </c>
      <c r="U9" s="22">
        <f>ROUND('Форма 4'!C57*'Базовые цены за единицу'!U9,2)</f>
        <v>0</v>
      </c>
      <c r="V9" s="22">
        <f>ROUND('Форма 4'!C57*'Базовые цены за единицу'!V9,2)</f>
        <v>0</v>
      </c>
      <c r="X9" s="22">
        <f>ROUND('Форма 4'!C57*'Базовые цены за единицу'!X9,2)</f>
        <v>0</v>
      </c>
      <c r="Y9" s="22">
        <f>IF(Определители!I9="9",ROUND((C9+E9)*(Начисления!M9/100)*('Форма 4'!C60/100),2),0)</f>
        <v>0</v>
      </c>
      <c r="Z9" s="22">
        <f>IF(Определители!I9="9",ROUND((C9+E9)*(100-Начисления!M9/100)*('Форма 4'!C60/100),2),0)</f>
        <v>0</v>
      </c>
      <c r="AA9" s="22">
        <f>IF(Определители!I9="9",ROUND((C9+E9)*(Начисления!M9/100)*('Форма 4'!C63/100),2),0)</f>
        <v>0</v>
      </c>
      <c r="AB9" s="22">
        <f>IF(Определители!I9="9",ROUND((C9+E9)*(100-Начисления!M9/100)*('Форма 4'!C63/100),2),0)</f>
        <v>0</v>
      </c>
      <c r="AC9" s="22">
        <f>IF(Определители!I9="9",ROUND(B9*Начисления!M9/100,2),0)</f>
        <v>0</v>
      </c>
      <c r="AD9" s="22">
        <f>IF(Определители!I9="9",ROUND(B9*(100-Начисления!M9)/100,2),0)</f>
        <v>0</v>
      </c>
    </row>
    <row r="10" spans="1:30" ht="10.5">
      <c r="A10" s="22" t="str">
        <f>'Форма 4'!A67</f>
        <v>5.</v>
      </c>
      <c r="B10" s="22">
        <f t="shared" si="0"/>
        <v>385.45</v>
      </c>
      <c r="C10" s="22">
        <f>ROUND('Форма 4'!C67*'Базовые цены за единицу'!C10,2)</f>
        <v>36.72</v>
      </c>
      <c r="D10" s="22">
        <f>ROUND('Форма 4'!C67*'Базовые цены за единицу'!D10,2)</f>
        <v>6.23</v>
      </c>
      <c r="E10" s="22">
        <f>ROUND('Форма 4'!C67*'Базовые цены за единицу'!E10,2)</f>
        <v>0.18</v>
      </c>
      <c r="F10" s="22">
        <f>ROUND('Форма 4'!C67*'Базовые цены за единицу'!F10,2)</f>
        <v>342.5</v>
      </c>
      <c r="G10" s="22">
        <f>ROUND('Форма 4'!C67*'Базовые цены за единицу'!G10,2)</f>
        <v>0</v>
      </c>
      <c r="H10" s="22">
        <f>ROUND('Форма 4'!C67*'Базовые цены за единицу'!H10,2)</f>
        <v>0</v>
      </c>
      <c r="I10" s="23" t="e">
        <f>ОКРУГЛВСЕ('Форма 4'!C67*'Базовые цены за единицу'!I10,8)</f>
        <v>#NAME?</v>
      </c>
      <c r="J10" s="23" t="e">
        <f>ОКРУГЛВСЕ('Форма 4'!C67*'Базовые цены за единицу'!J10,8)</f>
        <v>#NAME?</v>
      </c>
      <c r="K10" s="23" t="e">
        <f>ОКРУГЛВСЕ('Форма 4'!C67*'Базовые цены за единицу'!K10,8)</f>
        <v>#NAME?</v>
      </c>
      <c r="L10" s="22">
        <f>ROUND('Форма 4'!C67*'Базовые цены за единицу'!L10,2)</f>
        <v>0</v>
      </c>
      <c r="M10" s="22">
        <f>ROUND('Форма 4'!C67*'Базовые цены за единицу'!M10,2)</f>
        <v>0</v>
      </c>
      <c r="N10" s="22">
        <f>ROUND((C10+E10)*'Форма 4'!C70/100,2)</f>
        <v>42.44</v>
      </c>
      <c r="O10" s="22">
        <f>ROUND((C10+E10)*'Форма 4'!C73/100,2)</f>
        <v>26.2</v>
      </c>
      <c r="P10" s="22">
        <f>ROUND('Форма 4'!C67*'Базовые цены за единицу'!P10,2)</f>
        <v>42.23</v>
      </c>
      <c r="Q10" s="22">
        <f>ROUND('Форма 4'!C67*'Базовые цены за единицу'!Q10,2)</f>
        <v>0.22</v>
      </c>
      <c r="R10" s="22">
        <f>ROUND('Форма 4'!C67*'Базовые цены за единицу'!R10,2)</f>
        <v>26.06</v>
      </c>
      <c r="S10" s="22">
        <f>ROUND('Форма 4'!C67*'Базовые цены за единицу'!S10,2)</f>
        <v>0.14</v>
      </c>
      <c r="T10" s="22">
        <f>ROUND('Форма 4'!C67*'Базовые цены за единицу'!T10,2)</f>
        <v>0</v>
      </c>
      <c r="U10" s="22">
        <f>ROUND('Форма 4'!C67*'Базовые цены за единицу'!U10,2)</f>
        <v>0</v>
      </c>
      <c r="V10" s="22">
        <f>ROUND('Форма 4'!C67*'Базовые цены за единицу'!V10,2)</f>
        <v>0</v>
      </c>
      <c r="X10" s="22">
        <f>ROUND('Форма 4'!C67*'Базовые цены за единицу'!X10,2)</f>
        <v>0</v>
      </c>
      <c r="Y10" s="22">
        <f>IF(Определители!I10="9",ROUND((C10+E10)*(Начисления!M10/100)*('Форма 4'!C70/100),2),0)</f>
        <v>0</v>
      </c>
      <c r="Z10" s="22">
        <f>IF(Определители!I10="9",ROUND((C10+E10)*(100-Начисления!M10/100)*('Форма 4'!C70/100),2),0)</f>
        <v>0</v>
      </c>
      <c r="AA10" s="22">
        <f>IF(Определители!I10="9",ROUND((C10+E10)*(Начисления!M10/100)*('Форма 4'!C73/100),2),0)</f>
        <v>0</v>
      </c>
      <c r="AB10" s="22">
        <f>IF(Определители!I10="9",ROUND((C10+E10)*(100-Начисления!M10/100)*('Форма 4'!C73/100),2),0)</f>
        <v>0</v>
      </c>
      <c r="AC10" s="22">
        <f>IF(Определители!I10="9",ROUND(B10*Начисления!M10/100,2),0)</f>
        <v>0</v>
      </c>
      <c r="AD10" s="22">
        <f>IF(Определители!I10="9",ROUND(B10*(100-Начисления!M10)/100,2),0)</f>
        <v>0</v>
      </c>
    </row>
    <row r="11" spans="1:30" ht="10.5">
      <c r="A11" s="22" t="str">
        <f>'Форма 4'!A77</f>
        <v>6.</v>
      </c>
      <c r="B11" s="22">
        <f t="shared" si="0"/>
        <v>0</v>
      </c>
      <c r="C11" s="22">
        <f>ROUND('Форма 4'!C77*'Базовые цены за единицу'!C11,2)</f>
        <v>0</v>
      </c>
      <c r="D11" s="22">
        <f>ROUND('Форма 4'!C77*'Базовые цены за единицу'!D11,2)</f>
        <v>0</v>
      </c>
      <c r="E11" s="22">
        <f>ROUND('Форма 4'!C77*'Базовые цены за единицу'!E11,2)</f>
        <v>0</v>
      </c>
      <c r="F11" s="22">
        <f>ROUND('Форма 4'!C77*'Базовые цены за единицу'!F11,2)</f>
        <v>0</v>
      </c>
      <c r="G11" s="22">
        <f>ROUND('Форма 4'!C77*'Базовые цены за единицу'!G11,2)</f>
        <v>0</v>
      </c>
      <c r="H11" s="22">
        <f>ROUND('Форма 4'!C77*'Базовые цены за единицу'!H11,2)</f>
        <v>0</v>
      </c>
      <c r="I11" s="23" t="e">
        <f>ОКРУГЛВСЕ('Форма 4'!C77*'Базовые цены за единицу'!I11,8)</f>
        <v>#NAME?</v>
      </c>
      <c r="J11" s="23" t="e">
        <f>ОКРУГЛВСЕ('Форма 4'!C77*'Базовые цены за единицу'!J11,8)</f>
        <v>#NAME?</v>
      </c>
      <c r="K11" s="23" t="e">
        <f>ОКРУГЛВСЕ('Форма 4'!C77*'Базовые цены за единицу'!K11,8)</f>
        <v>#NAME?</v>
      </c>
      <c r="L11" s="22">
        <f>ROUND('Форма 4'!C77*'Базовые цены за единицу'!L11,2)</f>
        <v>0</v>
      </c>
      <c r="M11" s="22">
        <f>ROUND('Форма 4'!C77*'Базовые цены за единицу'!M11,2)</f>
        <v>0</v>
      </c>
      <c r="N11" s="22">
        <f>ROUND((C11+E11)*'Форма 4'!C80/100,2)</f>
        <v>0</v>
      </c>
      <c r="O11" s="22">
        <f>ROUND((C11+E11)*'Форма 4'!C83/100,2)</f>
        <v>0</v>
      </c>
      <c r="P11" s="22">
        <f>ROUND('Форма 4'!C77*'Базовые цены за единицу'!P11,2)</f>
        <v>0</v>
      </c>
      <c r="Q11" s="22">
        <f>ROUND('Форма 4'!C77*'Базовые цены за единицу'!Q11,2)</f>
        <v>0</v>
      </c>
      <c r="R11" s="22">
        <f>ROUND('Форма 4'!C77*'Базовые цены за единицу'!R11,2)</f>
        <v>0</v>
      </c>
      <c r="S11" s="22">
        <f>ROUND('Форма 4'!C77*'Базовые цены за единицу'!S11,2)</f>
        <v>0</v>
      </c>
      <c r="T11" s="22">
        <f>ROUND('Форма 4'!C77*'Базовые цены за единицу'!T11,2)</f>
        <v>0</v>
      </c>
      <c r="U11" s="22">
        <f>ROUND('Форма 4'!C77*'Базовые цены за единицу'!U11,2)</f>
        <v>0</v>
      </c>
      <c r="V11" s="22">
        <f>ROUND('Форма 4'!C77*'Базовые цены за единицу'!V11,2)</f>
        <v>0</v>
      </c>
      <c r="X11" s="22">
        <f>ROUND('Форма 4'!C77*'Базовые цены за единицу'!X11,2)</f>
        <v>0</v>
      </c>
      <c r="Y11" s="22">
        <f>IF(Определители!I11="9",ROUND((C11+E11)*(Начисления!M11/100)*('Форма 4'!C80/100),2),0)</f>
        <v>0</v>
      </c>
      <c r="Z11" s="22">
        <f>IF(Определители!I11="9",ROUND((C11+E11)*(100-Начисления!M11/100)*('Форма 4'!C80/100),2),0)</f>
        <v>0</v>
      </c>
      <c r="AA11" s="22">
        <f>IF(Определители!I11="9",ROUND((C11+E11)*(Начисления!M11/100)*('Форма 4'!C83/100),2),0)</f>
        <v>0</v>
      </c>
      <c r="AB11" s="22">
        <f>IF(Определители!I11="9",ROUND((C11+E11)*(100-Начисления!M11/100)*('Форма 4'!C83/100),2),0)</f>
        <v>0</v>
      </c>
      <c r="AC11" s="22">
        <f>IF(Определители!I11="9",ROUND(B11*Начисления!M11/100,2),0)</f>
        <v>0</v>
      </c>
      <c r="AD11" s="22">
        <f>IF(Определители!I11="9",ROUND(B11*(100-Начисления!M11)/100,2),0)</f>
        <v>0</v>
      </c>
    </row>
    <row r="12" spans="1:30" ht="10.5">
      <c r="A12" s="22" t="str">
        <f>'Форма 4'!A87</f>
        <v>7.</v>
      </c>
      <c r="B12" s="22">
        <f t="shared" si="0"/>
        <v>545.74</v>
      </c>
      <c r="C12" s="22">
        <f>ROUND('Форма 4'!C87*'Базовые цены за единицу'!C12,2)</f>
        <v>135.68</v>
      </c>
      <c r="D12" s="22">
        <f>ROUND('Форма 4'!C87*'Базовые цены за единицу'!D12,2)</f>
        <v>0</v>
      </c>
      <c r="E12" s="22">
        <f>ROUND('Форма 4'!C87*'Базовые цены за единицу'!E12,2)</f>
        <v>0</v>
      </c>
      <c r="F12" s="22">
        <f>ROUND('Форма 4'!C87*'Базовые цены за единицу'!F12,2)</f>
        <v>410.06</v>
      </c>
      <c r="G12" s="22">
        <f>ROUND('Форма 4'!C87*'Базовые цены за единицу'!G12,2)</f>
        <v>0</v>
      </c>
      <c r="H12" s="22">
        <f>ROUND('Форма 4'!C87*'Базовые цены за единицу'!H12,2)</f>
        <v>0</v>
      </c>
      <c r="I12" s="23" t="e">
        <f>ОКРУГЛВСЕ('Форма 4'!C87*'Базовые цены за единицу'!I12,8)</f>
        <v>#NAME?</v>
      </c>
      <c r="J12" s="23" t="e">
        <f>ОКРУГЛВСЕ('Форма 4'!C87*'Базовые цены за единицу'!J12,8)</f>
        <v>#NAME?</v>
      </c>
      <c r="K12" s="23" t="e">
        <f>ОКРУГЛВСЕ('Форма 4'!C87*'Базовые цены за единицу'!K12,8)</f>
        <v>#NAME?</v>
      </c>
      <c r="L12" s="22">
        <f>ROUND('Форма 4'!C87*'Базовые цены за единицу'!L12,2)</f>
        <v>0</v>
      </c>
      <c r="M12" s="22">
        <f>ROUND('Форма 4'!C87*'Базовые цены за единицу'!M12,2)</f>
        <v>0</v>
      </c>
      <c r="N12" s="22">
        <f>ROUND((C12+E12)*'Форма 4'!C89/100,2)</f>
        <v>141.11</v>
      </c>
      <c r="O12" s="22">
        <f>ROUND((C12+E12)*'Форма 4'!C92/100,2)</f>
        <v>104.47</v>
      </c>
      <c r="P12" s="22">
        <f>ROUND('Форма 4'!C87*'Базовые цены за единицу'!P12,2)</f>
        <v>141.1</v>
      </c>
      <c r="Q12" s="22">
        <f>ROUND('Форма 4'!C87*'Базовые цены за единицу'!Q12,2)</f>
        <v>0</v>
      </c>
      <c r="R12" s="22">
        <f>ROUND('Форма 4'!C87*'Базовые цены за единицу'!R12,2)</f>
        <v>104.47</v>
      </c>
      <c r="S12" s="22">
        <f>ROUND('Форма 4'!C87*'Базовые цены за единицу'!S12,2)</f>
        <v>0</v>
      </c>
      <c r="T12" s="22">
        <f>ROUND('Форма 4'!C87*'Базовые цены за единицу'!T12,2)</f>
        <v>0</v>
      </c>
      <c r="U12" s="22">
        <f>ROUND('Форма 4'!C87*'Базовые цены за единицу'!U12,2)</f>
        <v>0</v>
      </c>
      <c r="V12" s="22">
        <f>ROUND('Форма 4'!C87*'Базовые цены за единицу'!V12,2)</f>
        <v>0</v>
      </c>
      <c r="X12" s="22">
        <f>ROUND('Форма 4'!C87*'Базовые цены за единицу'!X12,2)</f>
        <v>0</v>
      </c>
      <c r="Y12" s="22">
        <f>IF(Определители!I12="9",ROUND((C12+E12)*(Начисления!M12/100)*('Форма 4'!C89/100),2),0)</f>
        <v>0</v>
      </c>
      <c r="Z12" s="22">
        <f>IF(Определители!I12="9",ROUND((C12+E12)*(100-Начисления!M12/100)*('Форма 4'!C89/100),2),0)</f>
        <v>0</v>
      </c>
      <c r="AA12" s="22">
        <f>IF(Определители!I12="9",ROUND((C12+E12)*(Начисления!M12/100)*('Форма 4'!C92/100),2),0)</f>
        <v>0</v>
      </c>
      <c r="AB12" s="22">
        <f>IF(Определители!I12="9",ROUND((C12+E12)*(100-Начисления!M12/100)*('Форма 4'!C92/100),2),0)</f>
        <v>0</v>
      </c>
      <c r="AC12" s="22">
        <f>IF(Определители!I12="9",ROUND(B12*Начисления!M12/100,2),0)</f>
        <v>0</v>
      </c>
      <c r="AD12" s="22">
        <f>IF(Определители!I12="9",ROUND(B12*(100-Начисления!M12)/100,2),0)</f>
        <v>0</v>
      </c>
    </row>
    <row r="13" spans="1:30" ht="10.5">
      <c r="A13" s="22" t="str">
        <f>'Форма 4'!A96</f>
        <v>8.</v>
      </c>
      <c r="B13" s="22">
        <f t="shared" si="0"/>
        <v>2.55</v>
      </c>
      <c r="C13" s="22">
        <f>ROUND('Форма 4'!C96*'Базовые цены за единицу'!C13,2)</f>
        <v>0</v>
      </c>
      <c r="D13" s="22">
        <f>ROUND('Форма 4'!C96*'Базовые цены за единицу'!D13,2)</f>
        <v>2.55</v>
      </c>
      <c r="E13" s="22">
        <f>ROUND('Форма 4'!C96*'Базовые цены за единицу'!E13,2)</f>
        <v>0</v>
      </c>
      <c r="F13" s="22">
        <f>ROUND('Форма 4'!C96*'Базовые цены за единицу'!F13,2)</f>
        <v>0</v>
      </c>
      <c r="G13" s="22">
        <f>ROUND('Форма 4'!C96*'Базовые цены за единицу'!G13,2)</f>
        <v>0</v>
      </c>
      <c r="H13" s="22">
        <f>ROUND('Форма 4'!C96*'Базовые цены за единицу'!H13,2)</f>
        <v>0</v>
      </c>
      <c r="I13" s="23" t="e">
        <f>ОКРУГЛВСЕ('Форма 4'!C96*'Базовые цены за единицу'!I13,8)</f>
        <v>#NAME?</v>
      </c>
      <c r="J13" s="23" t="e">
        <f>ОКРУГЛВСЕ('Форма 4'!C96*'Базовые цены за единицу'!J13,8)</f>
        <v>#NAME?</v>
      </c>
      <c r="K13" s="23" t="e">
        <f>ОКРУГЛВСЕ('Форма 4'!C96*'Базовые цены за единицу'!K13,8)</f>
        <v>#NAME?</v>
      </c>
      <c r="L13" s="22">
        <f>ROUND('Форма 4'!C96*'Базовые цены за единицу'!L13,2)</f>
        <v>0</v>
      </c>
      <c r="M13" s="22">
        <f>ROUND('Форма 4'!C96*'Базовые цены за единицу'!M13,2)</f>
        <v>0</v>
      </c>
      <c r="N13" s="22">
        <f>ROUND((C13+E13)*'Форма 4'!C98/100,2)</f>
        <v>0</v>
      </c>
      <c r="O13" s="22">
        <f>ROUND((C13+E13)*'Форма 4'!C101/100,2)</f>
        <v>0</v>
      </c>
      <c r="P13" s="22">
        <f>ROUND('Форма 4'!C96*'Базовые цены за единицу'!P13,2)</f>
        <v>0</v>
      </c>
      <c r="Q13" s="22">
        <f>ROUND('Форма 4'!C96*'Базовые цены за единицу'!Q13,2)</f>
        <v>0</v>
      </c>
      <c r="R13" s="22">
        <f>ROUND('Форма 4'!C96*'Базовые цены за единицу'!R13,2)</f>
        <v>0</v>
      </c>
      <c r="S13" s="22">
        <f>ROUND('Форма 4'!C96*'Базовые цены за единицу'!S13,2)</f>
        <v>0</v>
      </c>
      <c r="T13" s="22">
        <f>ROUND('Форма 4'!C96*'Базовые цены за единицу'!T13,2)</f>
        <v>0</v>
      </c>
      <c r="U13" s="22">
        <f>ROUND('Форма 4'!C96*'Базовые цены за единицу'!U13,2)</f>
        <v>0</v>
      </c>
      <c r="V13" s="22">
        <f>ROUND('Форма 4'!C96*'Базовые цены за единицу'!V13,2)</f>
        <v>0</v>
      </c>
      <c r="X13" s="22">
        <f>ROUND('Форма 4'!C96*'Базовые цены за единицу'!X13,2)</f>
        <v>0</v>
      </c>
      <c r="Y13" s="22">
        <f>IF(Определители!I13="9",ROUND((C13+E13)*(Начисления!M13/100)*('Форма 4'!C98/100),2),0)</f>
        <v>0</v>
      </c>
      <c r="Z13" s="22">
        <f>IF(Определители!I13="9",ROUND((C13+E13)*(100-Начисления!M13/100)*('Форма 4'!C98/100),2),0)</f>
        <v>0</v>
      </c>
      <c r="AA13" s="22">
        <f>IF(Определители!I13="9",ROUND((C13+E13)*(Начисления!M13/100)*('Форма 4'!C101/100),2),0)</f>
        <v>0</v>
      </c>
      <c r="AB13" s="22">
        <f>IF(Определители!I13="9",ROUND((C13+E13)*(100-Начисления!M13/100)*('Форма 4'!C101/100),2),0)</f>
        <v>0</v>
      </c>
      <c r="AC13" s="22">
        <f>IF(Определители!I13="9",ROUND(B13*Начисления!M13/100,2),0)</f>
        <v>0</v>
      </c>
      <c r="AD13" s="22">
        <f>IF(Определители!I13="9",ROUND(B13*(100-Начисления!M13)/100,2),0)</f>
        <v>0</v>
      </c>
    </row>
    <row r="14" spans="1:30" ht="10.5">
      <c r="A14" s="22" t="str">
        <f>'Форма 4'!A105</f>
        <v>9.</v>
      </c>
      <c r="B14" s="22">
        <f t="shared" si="0"/>
        <v>0.81</v>
      </c>
      <c r="C14" s="22">
        <f>ROUND('Форма 4'!C105*'Базовые цены за единицу'!C14,2)</f>
        <v>0</v>
      </c>
      <c r="D14" s="22">
        <f>ROUND('Форма 4'!C105*'Базовые цены за единицу'!D14,2)</f>
        <v>0</v>
      </c>
      <c r="E14" s="22">
        <f>ROUND('Форма 4'!C105*'Базовые цены за единицу'!E14,2)</f>
        <v>0</v>
      </c>
      <c r="F14" s="22">
        <f>ROUND('Форма 4'!C105*'Базовые цены за единицу'!F14,2)</f>
        <v>0.81</v>
      </c>
      <c r="G14" s="22">
        <f>ROUND('Форма 4'!C105*'Базовые цены за единицу'!G14,2)</f>
        <v>0</v>
      </c>
      <c r="H14" s="22">
        <f>ROUND('Форма 4'!C105*'Базовые цены за единицу'!H14,2)</f>
        <v>0</v>
      </c>
      <c r="I14" s="23" t="e">
        <f>ОКРУГЛВСЕ('Форма 4'!C105*'Базовые цены за единицу'!I14,8)</f>
        <v>#NAME?</v>
      </c>
      <c r="J14" s="23" t="e">
        <f>ОКРУГЛВСЕ('Форма 4'!C105*'Базовые цены за единицу'!J14,8)</f>
        <v>#NAME?</v>
      </c>
      <c r="K14" s="23" t="e">
        <f>ОКРУГЛВСЕ('Форма 4'!C105*'Базовые цены за единицу'!K14,8)</f>
        <v>#NAME?</v>
      </c>
      <c r="L14" s="22">
        <f>ROUND('Форма 4'!C105*'Базовые цены за единицу'!L14,2)</f>
        <v>0.32</v>
      </c>
      <c r="M14" s="22">
        <f>ROUND('Форма 4'!C105*'Базовые цены за единицу'!M14,2)</f>
        <v>0</v>
      </c>
      <c r="N14" s="22">
        <f>ROUND((C14+E14)*'Форма 4'!C107/100,2)</f>
        <v>0</v>
      </c>
      <c r="O14" s="22">
        <f>ROUND((C14+E14)*'Форма 4'!C110/100,2)</f>
        <v>0</v>
      </c>
      <c r="P14" s="22">
        <f>ROUND('Форма 4'!C105*'Базовые цены за единицу'!P14,2)</f>
        <v>0</v>
      </c>
      <c r="Q14" s="22">
        <f>ROUND('Форма 4'!C105*'Базовые цены за единицу'!Q14,2)</f>
        <v>0</v>
      </c>
      <c r="R14" s="22">
        <f>ROUND('Форма 4'!C105*'Базовые цены за единицу'!R14,2)</f>
        <v>0</v>
      </c>
      <c r="S14" s="22">
        <f>ROUND('Форма 4'!C105*'Базовые цены за единицу'!S14,2)</f>
        <v>0</v>
      </c>
      <c r="T14" s="22">
        <f>ROUND('Форма 4'!C105*'Базовые цены за единицу'!T14,2)</f>
        <v>0</v>
      </c>
      <c r="U14" s="22">
        <f>ROUND('Форма 4'!C105*'Базовые цены за единицу'!U14,2)</f>
        <v>0</v>
      </c>
      <c r="V14" s="22">
        <f>ROUND('Форма 4'!C105*'Базовые цены за единицу'!V14,2)</f>
        <v>0</v>
      </c>
      <c r="X14" s="22">
        <f>ROUND('Форма 4'!C105*'Базовые цены за единицу'!X14,2)</f>
        <v>0</v>
      </c>
      <c r="Y14" s="22">
        <f>IF(Определители!I14="9",ROUND((C14+E14)*(Начисления!M14/100)*('Форма 4'!C107/100),2),0)</f>
        <v>0</v>
      </c>
      <c r="Z14" s="22">
        <f>IF(Определители!I14="9",ROUND((C14+E14)*(100-Начисления!M14/100)*('Форма 4'!C107/100),2),0)</f>
        <v>0</v>
      </c>
      <c r="AA14" s="22">
        <f>IF(Определители!I14="9",ROUND((C14+E14)*(Начисления!M14/100)*('Форма 4'!C110/100),2),0)</f>
        <v>0</v>
      </c>
      <c r="AB14" s="22">
        <f>IF(Определители!I14="9",ROUND((C14+E14)*(100-Начисления!M14/100)*('Форма 4'!C110/100),2),0)</f>
        <v>0</v>
      </c>
      <c r="AC14" s="22">
        <f>IF(Определители!I14="9",ROUND(B14*Начисления!M14/100,2),0)</f>
        <v>0</v>
      </c>
      <c r="AD14" s="22">
        <f>IF(Определители!I14="9",ROUND(B14*(100-Начисления!M14)/100,2),0)</f>
        <v>0</v>
      </c>
    </row>
    <row r="15" spans="1:30" ht="10.5">
      <c r="A15" s="22" t="str">
        <f>'Форма 4'!A114</f>
        <v>10.</v>
      </c>
      <c r="B15" s="22">
        <f t="shared" si="0"/>
        <v>101.53</v>
      </c>
      <c r="C15" s="22">
        <f>ROUND('Форма 4'!C114*'Базовые цены за единицу'!C15,2)</f>
        <v>66.46</v>
      </c>
      <c r="D15" s="22">
        <f>ROUND('Форма 4'!C114*'Базовые цены за единицу'!D15,2)</f>
        <v>0.19</v>
      </c>
      <c r="E15" s="22">
        <f>ROUND('Форма 4'!C114*'Базовые цены за единицу'!E15,2)</f>
        <v>0</v>
      </c>
      <c r="F15" s="22">
        <f>ROUND('Форма 4'!C114*'Базовые цены за единицу'!F15,2)</f>
        <v>34.88</v>
      </c>
      <c r="G15" s="22">
        <f>ROUND('Форма 4'!C114*'Базовые цены за единицу'!G15,2)</f>
        <v>0</v>
      </c>
      <c r="H15" s="22">
        <f>ROUND('Форма 4'!C114*'Базовые цены за единицу'!H15,2)</f>
        <v>0</v>
      </c>
      <c r="I15" s="23" t="e">
        <f>ОКРУГЛВСЕ('Форма 4'!C114*'Базовые цены за единицу'!I15,8)</f>
        <v>#NAME?</v>
      </c>
      <c r="J15" s="23" t="e">
        <f>ОКРУГЛВСЕ('Форма 4'!C114*'Базовые цены за единицу'!J15,8)</f>
        <v>#NAME?</v>
      </c>
      <c r="K15" s="23" t="e">
        <f>ОКРУГЛВСЕ('Форма 4'!C114*'Базовые цены за единицу'!K15,8)</f>
        <v>#NAME?</v>
      </c>
      <c r="L15" s="22">
        <f>ROUND('Форма 4'!C114*'Базовые цены за единицу'!L15,2)</f>
        <v>0</v>
      </c>
      <c r="M15" s="22">
        <f>ROUND('Форма 4'!C114*'Базовые цены за единицу'!M15,2)</f>
        <v>0</v>
      </c>
      <c r="N15" s="22">
        <f>ROUND((C15+E15)*'Форма 4'!C116/100,2)</f>
        <v>68.45</v>
      </c>
      <c r="O15" s="22">
        <f>ROUND((C15+E15)*'Форма 4'!C119/100,2)</f>
        <v>39.88</v>
      </c>
      <c r="P15" s="22">
        <f>ROUND('Форма 4'!C114*'Базовые цены за единицу'!P15,2)</f>
        <v>68.45</v>
      </c>
      <c r="Q15" s="22">
        <f>ROUND('Форма 4'!C114*'Базовые цены за единицу'!Q15,2)</f>
        <v>0</v>
      </c>
      <c r="R15" s="22">
        <f>ROUND('Форма 4'!C114*'Базовые цены за единицу'!R15,2)</f>
        <v>39.88</v>
      </c>
      <c r="S15" s="22">
        <f>ROUND('Форма 4'!C114*'Базовые цены за единицу'!S15,2)</f>
        <v>0</v>
      </c>
      <c r="T15" s="22">
        <f>ROUND('Форма 4'!C114*'Базовые цены за единицу'!T15,2)</f>
        <v>0</v>
      </c>
      <c r="U15" s="22">
        <f>ROUND('Форма 4'!C114*'Базовые цены за единицу'!U15,2)</f>
        <v>0</v>
      </c>
      <c r="V15" s="22">
        <f>ROUND('Форма 4'!C114*'Базовые цены за единицу'!V15,2)</f>
        <v>0</v>
      </c>
      <c r="X15" s="22">
        <f>ROUND('Форма 4'!C114*'Базовые цены за единицу'!X15,2)</f>
        <v>0</v>
      </c>
      <c r="Y15" s="22">
        <f>IF(Определители!I15="9",ROUND((C15+E15)*(Начисления!M15/100)*('Форма 4'!C116/100),2),0)</f>
        <v>0</v>
      </c>
      <c r="Z15" s="22">
        <f>IF(Определители!I15="9",ROUND((C15+E15)*(100-Начисления!M15/100)*('Форма 4'!C116/100),2),0)</f>
        <v>0</v>
      </c>
      <c r="AA15" s="22">
        <f>IF(Определители!I15="9",ROUND((C15+E15)*(Начисления!M15/100)*('Форма 4'!C119/100),2),0)</f>
        <v>0</v>
      </c>
      <c r="AB15" s="22">
        <f>IF(Определители!I15="9",ROUND((C15+E15)*(100-Начисления!M15/100)*('Форма 4'!C119/100),2),0)</f>
        <v>0</v>
      </c>
      <c r="AC15" s="22">
        <f>IF(Определители!I15="9",ROUND(B15*Начисления!M15/100,2),0)</f>
        <v>0</v>
      </c>
      <c r="AD15" s="22">
        <f>IF(Определители!I15="9",ROUND(B15*(100-Начисления!M15)/100,2),0)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16384" width="9.140625" style="22" customWidth="1"/>
  </cols>
  <sheetData>
    <row r="1" spans="1:47" s="24" customFormat="1" ht="10.5">
      <c r="A1" s="7"/>
      <c r="B1" s="24" t="s">
        <v>159</v>
      </c>
      <c r="C1" s="24" t="s">
        <v>160</v>
      </c>
      <c r="D1" s="24" t="s">
        <v>161</v>
      </c>
      <c r="E1" s="24" t="s">
        <v>162</v>
      </c>
      <c r="F1" s="24" t="s">
        <v>163</v>
      </c>
      <c r="G1" s="24" t="s">
        <v>164</v>
      </c>
      <c r="H1" s="24" t="s">
        <v>165</v>
      </c>
      <c r="I1" s="24" t="s">
        <v>166</v>
      </c>
      <c r="J1" s="24" t="s">
        <v>167</v>
      </c>
      <c r="K1" s="24" t="s">
        <v>168</v>
      </c>
      <c r="L1" s="24" t="s">
        <v>169</v>
      </c>
      <c r="M1" s="24" t="s">
        <v>170</v>
      </c>
      <c r="N1" s="24" t="s">
        <v>171</v>
      </c>
      <c r="O1" s="24" t="s">
        <v>172</v>
      </c>
      <c r="P1" s="24" t="s">
        <v>173</v>
      </c>
      <c r="Q1" s="24" t="s">
        <v>174</v>
      </c>
      <c r="R1" s="24" t="s">
        <v>175</v>
      </c>
      <c r="S1" s="24" t="s">
        <v>176</v>
      </c>
      <c r="T1" s="24" t="s">
        <v>177</v>
      </c>
      <c r="U1" s="24" t="s">
        <v>178</v>
      </c>
      <c r="V1" s="24" t="s">
        <v>179</v>
      </c>
      <c r="W1" s="24" t="s">
        <v>180</v>
      </c>
      <c r="X1" s="24" t="s">
        <v>181</v>
      </c>
      <c r="Y1" s="24" t="s">
        <v>182</v>
      </c>
      <c r="Z1" s="24" t="s">
        <v>183</v>
      </c>
      <c r="AA1" s="24" t="s">
        <v>184</v>
      </c>
      <c r="AB1" s="24" t="s">
        <v>185</v>
      </c>
      <c r="AC1" s="24" t="s">
        <v>186</v>
      </c>
      <c r="AD1" s="24" t="s">
        <v>187</v>
      </c>
      <c r="AE1" s="24" t="s">
        <v>188</v>
      </c>
      <c r="AF1" s="24" t="s">
        <v>189</v>
      </c>
      <c r="AG1" s="24" t="s">
        <v>190</v>
      </c>
      <c r="AH1" s="24" t="s">
        <v>191</v>
      </c>
      <c r="AI1" s="24" t="s">
        <v>192</v>
      </c>
      <c r="AJ1" s="24" t="s">
        <v>193</v>
      </c>
      <c r="AK1" s="24" t="s">
        <v>194</v>
      </c>
      <c r="AL1" s="24" t="s">
        <v>195</v>
      </c>
      <c r="AM1" s="24" t="s">
        <v>196</v>
      </c>
      <c r="AN1" s="24" t="s">
        <v>197</v>
      </c>
      <c r="AO1" s="24" t="s">
        <v>198</v>
      </c>
      <c r="AP1" s="24" t="s">
        <v>199</v>
      </c>
      <c r="AQ1" s="24" t="s">
        <v>200</v>
      </c>
      <c r="AR1" s="24" t="s">
        <v>201</v>
      </c>
      <c r="AS1" s="24" t="s">
        <v>202</v>
      </c>
      <c r="AT1" s="24" t="s">
        <v>203</v>
      </c>
      <c r="AU1" s="24" t="s">
        <v>204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157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158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47" ht="10.5">
      <c r="A6" s="23" t="str">
        <f>'Форма 4'!A26</f>
        <v>1.</v>
      </c>
      <c r="B6" s="23">
        <v>1</v>
      </c>
      <c r="C6" s="23">
        <v>1</v>
      </c>
      <c r="D6" s="23">
        <v>1.25</v>
      </c>
      <c r="E6" s="23">
        <v>1.25</v>
      </c>
      <c r="F6" s="23">
        <v>1.15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100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23">
        <v>0</v>
      </c>
      <c r="T6" s="23">
        <v>1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1.7</v>
      </c>
      <c r="AH6" s="23">
        <v>1.6</v>
      </c>
      <c r="AI6" s="23">
        <v>1.29</v>
      </c>
      <c r="AJ6" s="23">
        <v>0.092</v>
      </c>
      <c r="AK6" s="23">
        <v>0.18</v>
      </c>
      <c r="AL6" s="23">
        <v>1</v>
      </c>
      <c r="AM6" s="23">
        <v>1</v>
      </c>
      <c r="AN6" s="23">
        <v>0.2</v>
      </c>
      <c r="AO6" s="23">
        <v>1.5</v>
      </c>
      <c r="AP6" s="23">
        <v>1</v>
      </c>
      <c r="AQ6" s="23">
        <v>1</v>
      </c>
      <c r="AR6" s="23">
        <v>1</v>
      </c>
      <c r="AS6" s="23">
        <v>1</v>
      </c>
      <c r="AT6" s="23">
        <v>1</v>
      </c>
      <c r="AU6" s="23">
        <v>100</v>
      </c>
    </row>
    <row r="7" spans="1:47" ht="10.5">
      <c r="A7" s="23" t="str">
        <f>'Форма 4'!A37</f>
        <v>2.</v>
      </c>
      <c r="B7" s="23">
        <v>1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100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23">
        <v>0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1.7</v>
      </c>
      <c r="AH7" s="23">
        <v>1.6</v>
      </c>
      <c r="AI7" s="23">
        <v>1.29</v>
      </c>
      <c r="AJ7" s="23">
        <v>0.092</v>
      </c>
      <c r="AK7" s="23">
        <v>0.18</v>
      </c>
      <c r="AL7" s="23">
        <v>1</v>
      </c>
      <c r="AM7" s="23">
        <v>1</v>
      </c>
      <c r="AN7" s="23">
        <v>0.2</v>
      </c>
      <c r="AO7" s="23">
        <v>1.5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100</v>
      </c>
    </row>
    <row r="8" spans="1:47" ht="10.5">
      <c r="A8" s="23" t="str">
        <f>'Форма 4'!A47</f>
        <v>3.</v>
      </c>
      <c r="B8" s="23">
        <v>1</v>
      </c>
      <c r="C8" s="23">
        <v>0</v>
      </c>
      <c r="D8" s="23">
        <v>0.4</v>
      </c>
      <c r="E8" s="23">
        <v>0.4</v>
      </c>
      <c r="F8" s="23">
        <v>0.4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100</v>
      </c>
      <c r="N8" s="23">
        <v>0</v>
      </c>
      <c r="O8" s="23">
        <v>0</v>
      </c>
      <c r="P8" s="23">
        <v>1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1.7</v>
      </c>
      <c r="AH8" s="23">
        <v>1.6</v>
      </c>
      <c r="AI8" s="23">
        <v>1.29</v>
      </c>
      <c r="AJ8" s="23">
        <v>0.092</v>
      </c>
      <c r="AK8" s="23">
        <v>0.18</v>
      </c>
      <c r="AL8" s="23">
        <v>1</v>
      </c>
      <c r="AM8" s="23">
        <v>1</v>
      </c>
      <c r="AN8" s="23">
        <v>0.2</v>
      </c>
      <c r="AO8" s="23">
        <v>1.5</v>
      </c>
      <c r="AP8" s="23">
        <v>0</v>
      </c>
      <c r="AQ8" s="23">
        <v>1</v>
      </c>
      <c r="AR8" s="23">
        <v>1</v>
      </c>
      <c r="AS8" s="23">
        <v>1</v>
      </c>
      <c r="AT8" s="23">
        <v>1</v>
      </c>
      <c r="AU8" s="23">
        <v>100</v>
      </c>
    </row>
    <row r="9" spans="1:47" ht="10.5">
      <c r="A9" s="23" t="str">
        <f>'Форма 4'!A57</f>
        <v>4.</v>
      </c>
      <c r="B9" s="23">
        <v>1</v>
      </c>
      <c r="C9" s="23">
        <v>1</v>
      </c>
      <c r="D9" s="23">
        <v>1.25</v>
      </c>
      <c r="E9" s="23">
        <v>1.25</v>
      </c>
      <c r="F9" s="23">
        <v>1.15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0</v>
      </c>
      <c r="M9" s="23">
        <v>100</v>
      </c>
      <c r="N9" s="23">
        <v>0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1.7</v>
      </c>
      <c r="AH9" s="23">
        <v>1.6</v>
      </c>
      <c r="AI9" s="23">
        <v>1.29</v>
      </c>
      <c r="AJ9" s="23">
        <v>0.092</v>
      </c>
      <c r="AK9" s="23">
        <v>0.18</v>
      </c>
      <c r="AL9" s="23">
        <v>1</v>
      </c>
      <c r="AM9" s="23">
        <v>1</v>
      </c>
      <c r="AN9" s="23">
        <v>0.2</v>
      </c>
      <c r="AO9" s="23">
        <v>1.5</v>
      </c>
      <c r="AP9" s="23">
        <v>1</v>
      </c>
      <c r="AQ9" s="23">
        <v>1</v>
      </c>
      <c r="AR9" s="23">
        <v>1</v>
      </c>
      <c r="AS9" s="23">
        <v>1</v>
      </c>
      <c r="AT9" s="23">
        <v>1</v>
      </c>
      <c r="AU9" s="23">
        <v>100</v>
      </c>
    </row>
    <row r="10" spans="1:47" ht="10.5">
      <c r="A10" s="23" t="str">
        <f>'Форма 4'!A67</f>
        <v>5.</v>
      </c>
      <c r="B10" s="23">
        <v>1</v>
      </c>
      <c r="C10" s="23">
        <v>1</v>
      </c>
      <c r="D10" s="23">
        <v>1.25</v>
      </c>
      <c r="E10" s="23">
        <v>1.25</v>
      </c>
      <c r="F10" s="23">
        <v>1.15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100</v>
      </c>
      <c r="N10" s="23">
        <v>0</v>
      </c>
      <c r="O10" s="23">
        <v>0</v>
      </c>
      <c r="P10" s="23">
        <v>1</v>
      </c>
      <c r="Q10" s="23">
        <v>1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1.7</v>
      </c>
      <c r="AH10" s="23">
        <v>1.6</v>
      </c>
      <c r="AI10" s="23">
        <v>1.29</v>
      </c>
      <c r="AJ10" s="23">
        <v>0.092</v>
      </c>
      <c r="AK10" s="23">
        <v>0.18</v>
      </c>
      <c r="AL10" s="23">
        <v>1</v>
      </c>
      <c r="AM10" s="23">
        <v>1</v>
      </c>
      <c r="AN10" s="23">
        <v>0.2</v>
      </c>
      <c r="AO10" s="23">
        <v>1.5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100</v>
      </c>
    </row>
    <row r="11" spans="1:47" ht="10.5">
      <c r="A11" s="23" t="str">
        <f>'Форма 4'!A77</f>
        <v>6.</v>
      </c>
      <c r="B11" s="23">
        <v>1</v>
      </c>
      <c r="C11" s="23">
        <v>1</v>
      </c>
      <c r="D11" s="23">
        <v>1.25</v>
      </c>
      <c r="E11" s="23">
        <v>1.25</v>
      </c>
      <c r="F11" s="23">
        <v>1.15</v>
      </c>
      <c r="G11" s="23">
        <v>1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100</v>
      </c>
      <c r="N11" s="23">
        <v>0</v>
      </c>
      <c r="O11" s="23">
        <v>0</v>
      </c>
      <c r="P11" s="23">
        <v>1</v>
      </c>
      <c r="Q11" s="23">
        <v>1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1.7</v>
      </c>
      <c r="AH11" s="23">
        <v>1.6</v>
      </c>
      <c r="AI11" s="23">
        <v>1.29</v>
      </c>
      <c r="AJ11" s="23">
        <v>0.092</v>
      </c>
      <c r="AK11" s="23">
        <v>0.18</v>
      </c>
      <c r="AL11" s="23">
        <v>1</v>
      </c>
      <c r="AM11" s="23">
        <v>1</v>
      </c>
      <c r="AN11" s="23">
        <v>0.2</v>
      </c>
      <c r="AO11" s="23">
        <v>1.5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3">
        <v>100</v>
      </c>
    </row>
    <row r="12" spans="1:47" ht="10.5">
      <c r="A12" s="23" t="str">
        <f>'Форма 4'!A87</f>
        <v>7.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100</v>
      </c>
      <c r="N12" s="23">
        <v>0</v>
      </c>
      <c r="O12" s="23">
        <v>0</v>
      </c>
      <c r="P12" s="23">
        <v>1</v>
      </c>
      <c r="Q12" s="23">
        <v>1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1.7</v>
      </c>
      <c r="AH12" s="23">
        <v>1.6</v>
      </c>
      <c r="AI12" s="23">
        <v>1.29</v>
      </c>
      <c r="AJ12" s="23">
        <v>0.092</v>
      </c>
      <c r="AK12" s="23">
        <v>0.18</v>
      </c>
      <c r="AL12" s="23">
        <v>1</v>
      </c>
      <c r="AM12" s="23">
        <v>1</v>
      </c>
      <c r="AN12" s="23">
        <v>0.2</v>
      </c>
      <c r="AO12" s="23">
        <v>1.5</v>
      </c>
      <c r="AP12" s="23">
        <v>1</v>
      </c>
      <c r="AQ12" s="23">
        <v>1</v>
      </c>
      <c r="AR12" s="23">
        <v>1</v>
      </c>
      <c r="AS12" s="23">
        <v>1</v>
      </c>
      <c r="AT12" s="23">
        <v>1</v>
      </c>
      <c r="AU12" s="23">
        <v>100</v>
      </c>
    </row>
    <row r="13" spans="1:47" ht="10.5">
      <c r="A13" s="23" t="str">
        <f>'Форма 4'!A96</f>
        <v>8.</v>
      </c>
      <c r="B13" s="23">
        <v>1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100</v>
      </c>
      <c r="N13" s="23">
        <v>0</v>
      </c>
      <c r="O13" s="23">
        <v>0</v>
      </c>
      <c r="P13" s="23">
        <v>1</v>
      </c>
      <c r="Q13" s="23">
        <v>1</v>
      </c>
      <c r="R13" s="23">
        <v>0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1.7</v>
      </c>
      <c r="AH13" s="23">
        <v>1.6</v>
      </c>
      <c r="AI13" s="23">
        <v>1.29</v>
      </c>
      <c r="AJ13" s="23">
        <v>0.092</v>
      </c>
      <c r="AK13" s="23">
        <v>0.18</v>
      </c>
      <c r="AL13" s="23">
        <v>1</v>
      </c>
      <c r="AM13" s="23">
        <v>1</v>
      </c>
      <c r="AN13" s="23">
        <v>0.2</v>
      </c>
      <c r="AO13" s="23">
        <v>1.5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3">
        <v>100</v>
      </c>
    </row>
    <row r="14" spans="1:47" ht="10.5">
      <c r="A14" s="23" t="str">
        <f>'Форма 4'!A105</f>
        <v>9.</v>
      </c>
      <c r="B14" s="23">
        <v>1</v>
      </c>
      <c r="C14" s="23">
        <v>1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0</v>
      </c>
      <c r="L14" s="23">
        <v>0</v>
      </c>
      <c r="M14" s="23">
        <v>100</v>
      </c>
      <c r="N14" s="23">
        <v>0</v>
      </c>
      <c r="O14" s="23">
        <v>0</v>
      </c>
      <c r="P14" s="23">
        <v>1</v>
      </c>
      <c r="Q14" s="23">
        <v>1</v>
      </c>
      <c r="R14" s="23">
        <v>0</v>
      </c>
      <c r="S14" s="23">
        <v>0</v>
      </c>
      <c r="T14" s="23">
        <v>1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1.7</v>
      </c>
      <c r="AH14" s="23">
        <v>1.6</v>
      </c>
      <c r="AI14" s="23">
        <v>1.29</v>
      </c>
      <c r="AJ14" s="23">
        <v>0.092</v>
      </c>
      <c r="AK14" s="23">
        <v>0.18</v>
      </c>
      <c r="AL14" s="23">
        <v>1</v>
      </c>
      <c r="AM14" s="23">
        <v>1</v>
      </c>
      <c r="AN14" s="23">
        <v>0.2</v>
      </c>
      <c r="AO14" s="23">
        <v>1.5</v>
      </c>
      <c r="AP14" s="23">
        <v>1</v>
      </c>
      <c r="AQ14" s="23">
        <v>1</v>
      </c>
      <c r="AR14" s="23">
        <v>1</v>
      </c>
      <c r="AS14" s="23">
        <v>1</v>
      </c>
      <c r="AT14" s="23">
        <v>1</v>
      </c>
      <c r="AU14" s="23">
        <v>100</v>
      </c>
    </row>
    <row r="15" spans="1:47" ht="10.5">
      <c r="A15" s="23" t="str">
        <f>'Форма 4'!A114</f>
        <v>10.</v>
      </c>
      <c r="B15" s="23">
        <v>1</v>
      </c>
      <c r="C15" s="23">
        <v>1</v>
      </c>
      <c r="D15" s="23">
        <v>1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0</v>
      </c>
      <c r="L15" s="23">
        <v>0</v>
      </c>
      <c r="M15" s="23">
        <v>100</v>
      </c>
      <c r="N15" s="23">
        <v>0</v>
      </c>
      <c r="O15" s="23">
        <v>0</v>
      </c>
      <c r="P15" s="23">
        <v>1</v>
      </c>
      <c r="Q15" s="23">
        <v>1</v>
      </c>
      <c r="R15" s="23">
        <v>0</v>
      </c>
      <c r="S15" s="23">
        <v>0</v>
      </c>
      <c r="T15" s="23">
        <v>1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1.7</v>
      </c>
      <c r="AH15" s="23">
        <v>1.6</v>
      </c>
      <c r="AI15" s="23">
        <v>1.29</v>
      </c>
      <c r="AJ15" s="23">
        <v>0.092</v>
      </c>
      <c r="AK15" s="23">
        <v>0.18</v>
      </c>
      <c r="AL15" s="23">
        <v>1</v>
      </c>
      <c r="AM15" s="23">
        <v>1</v>
      </c>
      <c r="AN15" s="23">
        <v>0.2</v>
      </c>
      <c r="AO15" s="23">
        <v>1.5</v>
      </c>
      <c r="AP15" s="23">
        <v>1</v>
      </c>
      <c r="AQ15" s="23">
        <v>1</v>
      </c>
      <c r="AR15" s="23">
        <v>1</v>
      </c>
      <c r="AS15" s="23">
        <v>1</v>
      </c>
      <c r="AT15" s="23">
        <v>1</v>
      </c>
      <c r="AU15" s="23">
        <v>100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2:10" s="24" customFormat="1" ht="10.5">
      <c r="B1" s="24" t="s">
        <v>205</v>
      </c>
      <c r="C1" s="24" t="s">
        <v>206</v>
      </c>
      <c r="D1" s="24" t="s">
        <v>207</v>
      </c>
      <c r="E1" s="24" t="s">
        <v>208</v>
      </c>
      <c r="F1" s="24" t="s">
        <v>209</v>
      </c>
      <c r="G1" s="24" t="s">
        <v>210</v>
      </c>
      <c r="H1" s="24" t="s">
        <v>211</v>
      </c>
      <c r="I1" s="24" t="s">
        <v>212</v>
      </c>
      <c r="J1" s="24" t="s">
        <v>213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8"/>
      <c r="B3" s="61" t="s">
        <v>157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8"/>
      <c r="B4" s="61" t="s">
        <v>158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10" ht="10.5">
      <c r="A6" s="27" t="str">
        <f>'Форма 4'!A26</f>
        <v>1.</v>
      </c>
      <c r="B6" s="26" t="s">
        <v>214</v>
      </c>
      <c r="C6" s="26" t="s">
        <v>214</v>
      </c>
      <c r="D6" s="26" t="s">
        <v>215</v>
      </c>
      <c r="E6" s="26" t="s">
        <v>215</v>
      </c>
      <c r="F6" s="26" t="s">
        <v>216</v>
      </c>
      <c r="G6" s="26" t="s">
        <v>215</v>
      </c>
      <c r="H6" s="26" t="s">
        <v>215</v>
      </c>
      <c r="I6" s="26" t="s">
        <v>217</v>
      </c>
      <c r="J6" s="26" t="s">
        <v>215</v>
      </c>
    </row>
    <row r="7" spans="1:10" ht="10.5">
      <c r="A7" s="27" t="str">
        <f>'Форма 4'!A37</f>
        <v>2.</v>
      </c>
      <c r="B7" s="26" t="s">
        <v>214</v>
      </c>
      <c r="C7" s="26" t="s">
        <v>214</v>
      </c>
      <c r="D7" s="26" t="s">
        <v>215</v>
      </c>
      <c r="E7" s="26" t="s">
        <v>215</v>
      </c>
      <c r="F7" s="26" t="s">
        <v>216</v>
      </c>
      <c r="G7" s="26" t="s">
        <v>215</v>
      </c>
      <c r="H7" s="26" t="s">
        <v>215</v>
      </c>
      <c r="I7" s="26" t="s">
        <v>217</v>
      </c>
      <c r="J7" s="26" t="s">
        <v>215</v>
      </c>
    </row>
    <row r="8" spans="1:10" ht="10.5">
      <c r="A8" s="27" t="str">
        <f>'Форма 4'!A47</f>
        <v>3.</v>
      </c>
      <c r="B8" s="26" t="s">
        <v>214</v>
      </c>
      <c r="C8" s="26" t="s">
        <v>214</v>
      </c>
      <c r="D8" s="26" t="s">
        <v>215</v>
      </c>
      <c r="E8" s="26" t="s">
        <v>215</v>
      </c>
      <c r="F8" s="26" t="s">
        <v>217</v>
      </c>
      <c r="G8" s="26" t="s">
        <v>215</v>
      </c>
      <c r="H8" s="26" t="s">
        <v>215</v>
      </c>
      <c r="I8" s="26" t="s">
        <v>218</v>
      </c>
      <c r="J8" s="26" t="s">
        <v>215</v>
      </c>
    </row>
    <row r="9" spans="1:10" ht="10.5">
      <c r="A9" s="27" t="str">
        <f>'Форма 4'!A57</f>
        <v>4.</v>
      </c>
      <c r="B9" s="26" t="s">
        <v>214</v>
      </c>
      <c r="C9" s="26" t="s">
        <v>214</v>
      </c>
      <c r="D9" s="26" t="s">
        <v>215</v>
      </c>
      <c r="E9" s="26" t="s">
        <v>215</v>
      </c>
      <c r="F9" s="26" t="s">
        <v>216</v>
      </c>
      <c r="G9" s="26" t="s">
        <v>215</v>
      </c>
      <c r="H9" s="26" t="s">
        <v>215</v>
      </c>
      <c r="I9" s="26" t="s">
        <v>217</v>
      </c>
      <c r="J9" s="26" t="s">
        <v>215</v>
      </c>
    </row>
    <row r="10" spans="1:10" ht="10.5">
      <c r="A10" s="27" t="str">
        <f>'Форма 4'!A67</f>
        <v>5.</v>
      </c>
      <c r="B10" s="26" t="s">
        <v>214</v>
      </c>
      <c r="C10" s="26" t="s">
        <v>214</v>
      </c>
      <c r="D10" s="26" t="s">
        <v>215</v>
      </c>
      <c r="E10" s="26" t="s">
        <v>215</v>
      </c>
      <c r="F10" s="26" t="s">
        <v>217</v>
      </c>
      <c r="G10" s="26" t="s">
        <v>215</v>
      </c>
      <c r="H10" s="26" t="s">
        <v>215</v>
      </c>
      <c r="I10" s="26" t="s">
        <v>218</v>
      </c>
      <c r="J10" s="26" t="s">
        <v>215</v>
      </c>
    </row>
    <row r="11" spans="1:10" ht="10.5">
      <c r="A11" s="27" t="str">
        <f>'Форма 4'!A77</f>
        <v>6.</v>
      </c>
      <c r="B11" s="26" t="s">
        <v>214</v>
      </c>
      <c r="C11" s="26" t="s">
        <v>214</v>
      </c>
      <c r="D11" s="26" t="s">
        <v>215</v>
      </c>
      <c r="E11" s="26" t="s">
        <v>215</v>
      </c>
      <c r="F11" s="26" t="s">
        <v>216</v>
      </c>
      <c r="G11" s="26" t="s">
        <v>215</v>
      </c>
      <c r="H11" s="26" t="s">
        <v>215</v>
      </c>
      <c r="I11" s="26" t="s">
        <v>217</v>
      </c>
      <c r="J11" s="26" t="s">
        <v>215</v>
      </c>
    </row>
    <row r="12" spans="1:10" ht="10.5">
      <c r="A12" s="27" t="str">
        <f>'Форма 4'!A87</f>
        <v>7.</v>
      </c>
      <c r="B12" s="26" t="s">
        <v>214</v>
      </c>
      <c r="C12" s="26" t="s">
        <v>214</v>
      </c>
      <c r="D12" s="26" t="s">
        <v>215</v>
      </c>
      <c r="E12" s="26" t="s">
        <v>215</v>
      </c>
      <c r="F12" s="26" t="s">
        <v>216</v>
      </c>
      <c r="G12" s="26" t="s">
        <v>215</v>
      </c>
      <c r="H12" s="26" t="s">
        <v>215</v>
      </c>
      <c r="I12" s="26" t="s">
        <v>217</v>
      </c>
      <c r="J12" s="26" t="s">
        <v>215</v>
      </c>
    </row>
    <row r="13" spans="1:10" ht="10.5">
      <c r="A13" s="27" t="str">
        <f>'Форма 4'!A96</f>
        <v>8.</v>
      </c>
      <c r="B13" s="26" t="s">
        <v>214</v>
      </c>
      <c r="C13" s="26" t="s">
        <v>214</v>
      </c>
      <c r="D13" s="26" t="s">
        <v>215</v>
      </c>
      <c r="E13" s="26" t="s">
        <v>215</v>
      </c>
      <c r="F13" s="26" t="s">
        <v>216</v>
      </c>
      <c r="G13" s="26" t="s">
        <v>215</v>
      </c>
      <c r="H13" s="26" t="s">
        <v>215</v>
      </c>
      <c r="I13" s="26" t="s">
        <v>217</v>
      </c>
      <c r="J13" s="26" t="s">
        <v>215</v>
      </c>
    </row>
    <row r="14" spans="1:10" ht="10.5">
      <c r="A14" s="27" t="str">
        <f>'Форма 4'!A105</f>
        <v>9.</v>
      </c>
      <c r="B14" s="26" t="s">
        <v>214</v>
      </c>
      <c r="C14" s="26" t="s">
        <v>214</v>
      </c>
      <c r="D14" s="26" t="s">
        <v>215</v>
      </c>
      <c r="E14" s="26" t="s">
        <v>215</v>
      </c>
      <c r="F14" s="26" t="s">
        <v>216</v>
      </c>
      <c r="G14" s="26" t="s">
        <v>214</v>
      </c>
      <c r="H14" s="26" t="s">
        <v>215</v>
      </c>
      <c r="I14" s="26" t="s">
        <v>217</v>
      </c>
      <c r="J14" s="26" t="s">
        <v>215</v>
      </c>
    </row>
    <row r="15" spans="1:10" ht="10.5">
      <c r="A15" s="27" t="str">
        <f>'Форма 4'!A114</f>
        <v>10.</v>
      </c>
      <c r="B15" s="26" t="s">
        <v>214</v>
      </c>
      <c r="C15" s="26" t="s">
        <v>214</v>
      </c>
      <c r="D15" s="26" t="s">
        <v>215</v>
      </c>
      <c r="E15" s="26" t="s">
        <v>215</v>
      </c>
      <c r="F15" s="26" t="s">
        <v>217</v>
      </c>
      <c r="G15" s="26" t="s">
        <v>215</v>
      </c>
      <c r="H15" s="26" t="s">
        <v>215</v>
      </c>
      <c r="I15" s="26" t="s">
        <v>218</v>
      </c>
      <c r="J15" s="26" t="s">
        <v>215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2" width="44.421875" style="6" customWidth="1"/>
    <col min="3" max="3" width="3.421875" style="26" customWidth="1"/>
    <col min="4" max="4" width="6.00390625" style="29" customWidth="1"/>
    <col min="5" max="5" width="6.00390625" style="6" customWidth="1"/>
    <col min="6" max="9" width="12.7109375" style="29" customWidth="1"/>
    <col min="10" max="11" width="18.7109375" style="29" customWidth="1"/>
    <col min="12" max="12" width="12.7109375" style="29" customWidth="1"/>
    <col min="13" max="13" width="9.140625" style="29" customWidth="1"/>
    <col min="14" max="14" width="3.421875" style="26" hidden="1" customWidth="1"/>
    <col min="15" max="16384" width="9.140625" style="29" customWidth="1"/>
  </cols>
  <sheetData>
    <row r="2" spans="1:14" ht="10.5">
      <c r="A2" s="56"/>
      <c r="B2" s="62"/>
      <c r="C2" s="62"/>
      <c r="D2" s="63"/>
      <c r="E2" s="62"/>
      <c r="F2" s="63"/>
      <c r="G2" s="63"/>
      <c r="H2" s="63"/>
      <c r="I2" s="63"/>
      <c r="J2" s="63"/>
      <c r="N2" s="29"/>
    </row>
    <row r="3" spans="1:14" ht="10.5">
      <c r="A3" s="25"/>
      <c r="B3" s="58" t="s">
        <v>157</v>
      </c>
      <c r="C3" s="58"/>
      <c r="D3" s="58"/>
      <c r="E3" s="58"/>
      <c r="F3" s="58"/>
      <c r="G3" s="58"/>
      <c r="H3" s="58"/>
      <c r="I3" s="58"/>
      <c r="J3" s="58"/>
      <c r="N3" s="29"/>
    </row>
    <row r="4" spans="1:14" ht="10.5">
      <c r="A4" s="25"/>
      <c r="B4" s="58" t="s">
        <v>158</v>
      </c>
      <c r="C4" s="58"/>
      <c r="D4" s="58"/>
      <c r="E4" s="58"/>
      <c r="F4" s="58"/>
      <c r="G4" s="58"/>
      <c r="H4" s="58"/>
      <c r="I4" s="58"/>
      <c r="J4" s="58"/>
      <c r="N4" s="29"/>
    </row>
    <row r="5" spans="1:14" ht="10.5">
      <c r="A5" s="56"/>
      <c r="B5" s="62"/>
      <c r="C5" s="62"/>
      <c r="D5" s="63"/>
      <c r="E5" s="62"/>
      <c r="F5" s="63"/>
      <c r="G5" s="63"/>
      <c r="H5" s="63"/>
      <c r="I5" s="63"/>
      <c r="J5" s="63"/>
      <c r="N5" s="29"/>
    </row>
    <row r="6" spans="1:13" s="24" customFormat="1" ht="10.5">
      <c r="A6" s="7"/>
      <c r="B6" s="24" t="s">
        <v>219</v>
      </c>
      <c r="C6" s="24" t="s">
        <v>220</v>
      </c>
      <c r="D6" s="30" t="s">
        <v>221</v>
      </c>
      <c r="E6" s="24" t="s">
        <v>222</v>
      </c>
      <c r="F6" s="24" t="s">
        <v>223</v>
      </c>
      <c r="G6" s="24" t="s">
        <v>224</v>
      </c>
      <c r="H6" s="24" t="s">
        <v>225</v>
      </c>
      <c r="I6" s="24" t="s">
        <v>226</v>
      </c>
      <c r="J6" s="24" t="s">
        <v>227</v>
      </c>
      <c r="K6" s="24" t="s">
        <v>228</v>
      </c>
      <c r="L6" s="24" t="s">
        <v>229</v>
      </c>
      <c r="M6" s="24" t="s">
        <v>230</v>
      </c>
    </row>
    <row r="7" spans="1:14" ht="10.5">
      <c r="A7" s="23">
        <v>1</v>
      </c>
      <c r="B7" s="6" t="s">
        <v>68</v>
      </c>
      <c r="C7" s="26" t="s">
        <v>231</v>
      </c>
      <c r="D7" s="29">
        <v>0</v>
      </c>
      <c r="E7" s="29"/>
      <c r="F7" s="22">
        <f>ROUND(SUM('Базовые цены с учетом расхода'!B6:B15),2)</f>
        <v>2920.13</v>
      </c>
      <c r="G7" s="22">
        <f>ROUND(SUM('Базовые цены с учетом расхода'!C6:C15),2)</f>
        <v>260.83</v>
      </c>
      <c r="H7" s="22">
        <f>ROUND(SUM('Базовые цены с учетом расхода'!D6:D15),2)</f>
        <v>14.93</v>
      </c>
      <c r="I7" s="22">
        <f>ROUND(SUM('Базовые цены с учетом расхода'!E6:E15),2)</f>
        <v>0.69</v>
      </c>
      <c r="J7" s="31" t="e">
        <f>ROUND(SUM('Базовые цены с учетом расхода'!I6:I15),8)</f>
        <v>#NAME?</v>
      </c>
      <c r="K7" s="31" t="e">
        <f>ROUND(SUM('Базовые цены с учетом расхода'!K6:K15),8)</f>
        <v>#NAME?</v>
      </c>
      <c r="L7" s="22">
        <f>ROUND(SUM('Базовые цены с учетом расхода'!F6:F15),2)</f>
        <v>2644.37</v>
      </c>
      <c r="N7" s="26" t="s">
        <v>214</v>
      </c>
    </row>
    <row r="8" spans="1:14" ht="10.5">
      <c r="A8" s="23">
        <v>2</v>
      </c>
      <c r="B8" s="6" t="s">
        <v>69</v>
      </c>
      <c r="C8" s="26" t="s">
        <v>232</v>
      </c>
      <c r="D8" s="29">
        <v>0</v>
      </c>
      <c r="F8" s="22">
        <f>ROUND(SUMIF(Определители!I6:I15,"= ",'Базовые цены с учетом расхода'!B6:B15),2)</f>
        <v>0</v>
      </c>
      <c r="G8" s="22">
        <f>ROUND(SUMIF(Определители!I6:I15,"= ",'Базовые цены с учетом расхода'!C6:C15),2)</f>
        <v>0</v>
      </c>
      <c r="H8" s="22">
        <f>ROUND(SUMIF(Определители!I6:I15,"= ",'Базовые цены с учетом расхода'!D6:D15),2)</f>
        <v>0</v>
      </c>
      <c r="I8" s="22">
        <f>ROUND(SUMIF(Определители!I6:I15,"= ",'Базовые цены с учетом расхода'!E6:E15),2)</f>
        <v>0</v>
      </c>
      <c r="J8" s="31">
        <f>ROUND(SUMIF(Определители!I6:I15,"= ",'Базовые цены с учетом расхода'!I6:I15),8)</f>
        <v>0</v>
      </c>
      <c r="K8" s="31">
        <f>ROUND(SUMIF(Определители!I6:I15,"= ",'Базовые цены с учетом расхода'!K6:K15),8)</f>
        <v>0</v>
      </c>
      <c r="L8" s="22">
        <f>ROUND(SUMIF(Определители!I6:I15,"= ",'Базовые цены с учетом расхода'!F6:F15),2)</f>
        <v>0</v>
      </c>
      <c r="N8" s="26" t="s">
        <v>217</v>
      </c>
    </row>
    <row r="9" spans="1:14" ht="10.5">
      <c r="A9" s="23">
        <v>3</v>
      </c>
      <c r="B9" s="6" t="s">
        <v>70</v>
      </c>
      <c r="C9" s="26" t="s">
        <v>232</v>
      </c>
      <c r="D9" s="29">
        <v>0</v>
      </c>
      <c r="F9" s="22" t="e">
        <f>ROUND(СУММПРОИЗВЕСЛИ(0.01,Определители!I6:I15," ",'Базовые цены с учетом расхода'!B6:B15,Начисления!X6:X15,0),2)</f>
        <v>#NAME?</v>
      </c>
      <c r="G9" s="22"/>
      <c r="H9" s="22"/>
      <c r="I9" s="22"/>
      <c r="J9" s="31"/>
      <c r="K9" s="31"/>
      <c r="L9" s="22"/>
      <c r="N9" s="26" t="s">
        <v>233</v>
      </c>
    </row>
    <row r="10" spans="1:14" ht="10.5">
      <c r="A10" s="23">
        <v>4</v>
      </c>
      <c r="B10" s="6" t="s">
        <v>71</v>
      </c>
      <c r="C10" s="26" t="s">
        <v>232</v>
      </c>
      <c r="D10" s="29">
        <v>0</v>
      </c>
      <c r="F10" s="22" t="e">
        <f>ROUND(СУММПРОИЗВЕСЛИ(0.01,Определители!I6:I15," ",'Базовые цены с учетом расхода'!B6:B15,Начисления!Y6:Y15,0),2)</f>
        <v>#NAME?</v>
      </c>
      <c r="G10" s="22"/>
      <c r="H10" s="22"/>
      <c r="I10" s="22"/>
      <c r="J10" s="31"/>
      <c r="K10" s="31"/>
      <c r="L10" s="22"/>
      <c r="N10" s="26" t="s">
        <v>218</v>
      </c>
    </row>
    <row r="11" spans="1:14" ht="10.5">
      <c r="A11" s="23">
        <v>5</v>
      </c>
      <c r="B11" s="6" t="s">
        <v>72</v>
      </c>
      <c r="C11" s="26" t="s">
        <v>232</v>
      </c>
      <c r="D11" s="29">
        <v>0</v>
      </c>
      <c r="F11" s="22" t="e">
        <f>ROUND(ТРАНСПРАСХОД(Определители!B6:B15,Определители!H6:H15,Определители!I6:I15,'Базовые цены с учетом расхода'!B6:B15,Начисления!Z6:Z15,Начисления!AA6:AA15),2)</f>
        <v>#NAME?</v>
      </c>
      <c r="G11" s="22"/>
      <c r="H11" s="22"/>
      <c r="I11" s="22"/>
      <c r="J11" s="31"/>
      <c r="K11" s="31"/>
      <c r="L11" s="22"/>
      <c r="N11" s="26" t="s">
        <v>234</v>
      </c>
    </row>
    <row r="12" spans="1:14" ht="10.5">
      <c r="A12" s="23">
        <v>6</v>
      </c>
      <c r="B12" s="6" t="s">
        <v>73</v>
      </c>
      <c r="C12" s="26" t="s">
        <v>232</v>
      </c>
      <c r="D12" s="29">
        <v>0</v>
      </c>
      <c r="F12" s="22" t="e">
        <f>ROUND(СУММПРОИЗВЕСЛИ(0.01,Определители!I6:I15," ",'Базовые цены с учетом расхода'!B6:B15,Начисления!AC6:AC15,0),2)</f>
        <v>#NAME?</v>
      </c>
      <c r="G12" s="22"/>
      <c r="H12" s="22"/>
      <c r="I12" s="22"/>
      <c r="J12" s="31"/>
      <c r="K12" s="31"/>
      <c r="L12" s="22"/>
      <c r="N12" s="26" t="s">
        <v>235</v>
      </c>
    </row>
    <row r="13" spans="1:14" ht="10.5">
      <c r="A13" s="23">
        <v>7</v>
      </c>
      <c r="B13" s="6" t="s">
        <v>74</v>
      </c>
      <c r="C13" s="26" t="s">
        <v>232</v>
      </c>
      <c r="D13" s="29">
        <v>0</v>
      </c>
      <c r="F13" s="22" t="e">
        <f>ROUND(СУММПРОИЗВЕСЛИ(0.01,Определители!I6:I15," ",'Базовые цены с учетом расхода'!B6:B15,Начисления!AF6:AF15,0),2)</f>
        <v>#NAME?</v>
      </c>
      <c r="G13" s="22"/>
      <c r="H13" s="22"/>
      <c r="I13" s="22"/>
      <c r="J13" s="31"/>
      <c r="K13" s="31"/>
      <c r="L13" s="22"/>
      <c r="N13" s="26" t="s">
        <v>236</v>
      </c>
    </row>
    <row r="14" spans="1:14" ht="10.5">
      <c r="A14" s="23">
        <v>8</v>
      </c>
      <c r="B14" s="6" t="s">
        <v>75</v>
      </c>
      <c r="C14" s="26" t="s">
        <v>232</v>
      </c>
      <c r="D14" s="29">
        <v>0</v>
      </c>
      <c r="F14" s="22" t="e">
        <f>ROUND(ЗАГОТСКЛАДРАСХОД(Определители!B6:B15,Определители!H6:H15,Определители!I6:I15,'Базовые цены с учетом расхода'!B6:B15,Начисления!X6:X15,Начисления!Y6:Y15,Начисления!Z6:Z15,Начисления!AA6:AA15,Начисления!AB6:AB15,Начисления!AC6:AC15,Начисления!AF6:AF15),2)</f>
        <v>#NAME?</v>
      </c>
      <c r="G14" s="22"/>
      <c r="H14" s="22"/>
      <c r="I14" s="22"/>
      <c r="J14" s="31"/>
      <c r="K14" s="31"/>
      <c r="L14" s="22"/>
      <c r="N14" s="26" t="s">
        <v>237</v>
      </c>
    </row>
    <row r="15" spans="1:14" ht="10.5">
      <c r="A15" s="23">
        <v>9</v>
      </c>
      <c r="B15" s="6" t="s">
        <v>76</v>
      </c>
      <c r="C15" s="26" t="s">
        <v>232</v>
      </c>
      <c r="D15" s="29">
        <v>0</v>
      </c>
      <c r="F15" s="22" t="e">
        <f>ROUND(СУММПРОИЗВЕСЛИ(1,Определители!I6:I15," ",'Базовые цены с учетом расхода'!M6:M15,Начисления!I6:I15,0),2)</f>
        <v>#NAME?</v>
      </c>
      <c r="G15" s="22"/>
      <c r="H15" s="22"/>
      <c r="I15" s="22"/>
      <c r="J15" s="31"/>
      <c r="K15" s="31"/>
      <c r="L15" s="22"/>
      <c r="N15" s="26" t="s">
        <v>238</v>
      </c>
    </row>
    <row r="16" spans="1:14" ht="10.5">
      <c r="A16" s="23">
        <v>10</v>
      </c>
      <c r="B16" s="6" t="s">
        <v>77</v>
      </c>
      <c r="C16" s="26" t="s">
        <v>239</v>
      </c>
      <c r="D16" s="29">
        <v>0</v>
      </c>
      <c r="F16" s="22" t="e">
        <f>ROUND((F15+F26+F46),2)</f>
        <v>#NAME?</v>
      </c>
      <c r="G16" s="22"/>
      <c r="H16" s="22"/>
      <c r="I16" s="22"/>
      <c r="J16" s="31"/>
      <c r="K16" s="31"/>
      <c r="L16" s="22"/>
      <c r="N16" s="26" t="s">
        <v>240</v>
      </c>
    </row>
    <row r="17" spans="1:14" ht="10.5">
      <c r="A17" s="23">
        <v>11</v>
      </c>
      <c r="B17" s="6" t="s">
        <v>78</v>
      </c>
      <c r="C17" s="26" t="s">
        <v>239</v>
      </c>
      <c r="D17" s="29">
        <v>0</v>
      </c>
      <c r="F17" s="22" t="e">
        <f>ROUND((F8+F9+F10+F11+F12+F13+F14+F16),2)</f>
        <v>#NAME?</v>
      </c>
      <c r="G17" s="22"/>
      <c r="H17" s="22"/>
      <c r="I17" s="22"/>
      <c r="J17" s="31"/>
      <c r="K17" s="31"/>
      <c r="L17" s="22"/>
      <c r="N17" s="26" t="s">
        <v>241</v>
      </c>
    </row>
    <row r="18" spans="1:14" ht="10.5">
      <c r="A18" s="23">
        <v>12</v>
      </c>
      <c r="B18" s="6" t="s">
        <v>79</v>
      </c>
      <c r="C18" s="26" t="s">
        <v>232</v>
      </c>
      <c r="D18" s="29">
        <v>0</v>
      </c>
      <c r="F18" s="22">
        <f>ROUND(SUMIF(Определители!I6:I15,"=1",'Базовые цены с учетом расхода'!B6:B15),2)</f>
        <v>0</v>
      </c>
      <c r="G18" s="22">
        <f>ROUND(SUMIF(Определители!I6:I15,"=1",'Базовые цены с учетом расхода'!C6:C15),2)</f>
        <v>0</v>
      </c>
      <c r="H18" s="22">
        <f>ROUND(SUMIF(Определители!I6:I15,"=1",'Базовые цены с учетом расхода'!D6:D15),2)</f>
        <v>0</v>
      </c>
      <c r="I18" s="22">
        <f>ROUND(SUMIF(Определители!I6:I15,"=1",'Базовые цены с учетом расхода'!E6:E15),2)</f>
        <v>0</v>
      </c>
      <c r="J18" s="31">
        <f>ROUND(SUMIF(Определители!I6:I15,"=1",'Базовые цены с учетом расхода'!I6:I15),8)</f>
        <v>0</v>
      </c>
      <c r="K18" s="31">
        <f>ROUND(SUMIF(Определители!I6:I15,"=1",'Базовые цены с учетом расхода'!K6:K15),8)</f>
        <v>0</v>
      </c>
      <c r="L18" s="22">
        <f>ROUND(SUMIF(Определители!I6:I15,"=1",'Базовые цены с учетом расхода'!F6:F15),2)</f>
        <v>0</v>
      </c>
      <c r="N18" s="26" t="s">
        <v>242</v>
      </c>
    </row>
    <row r="19" spans="1:14" ht="10.5">
      <c r="A19" s="23">
        <v>13</v>
      </c>
      <c r="B19" s="6" t="s">
        <v>80</v>
      </c>
      <c r="C19" s="26" t="s">
        <v>232</v>
      </c>
      <c r="D19" s="29">
        <v>0</v>
      </c>
      <c r="F19" s="22"/>
      <c r="G19" s="22"/>
      <c r="H19" s="22"/>
      <c r="I19" s="22"/>
      <c r="J19" s="31"/>
      <c r="K19" s="31"/>
      <c r="L19" s="22"/>
      <c r="N19" s="26" t="s">
        <v>243</v>
      </c>
    </row>
    <row r="20" spans="1:14" ht="10.5">
      <c r="A20" s="23">
        <v>14</v>
      </c>
      <c r="B20" s="6" t="s">
        <v>81</v>
      </c>
      <c r="C20" s="26" t="s">
        <v>232</v>
      </c>
      <c r="D20" s="29">
        <v>0</v>
      </c>
      <c r="F20" s="22"/>
      <c r="G20" s="22">
        <f>ROUND(SUMIF(Определители!I6:I15,"=1",'Базовые цены с учетом расхода'!U6:U15),2)</f>
        <v>0</v>
      </c>
      <c r="H20" s="22"/>
      <c r="I20" s="22"/>
      <c r="J20" s="31"/>
      <c r="K20" s="31"/>
      <c r="L20" s="22"/>
      <c r="N20" s="26" t="s">
        <v>244</v>
      </c>
    </row>
    <row r="21" spans="1:14" ht="10.5">
      <c r="A21" s="23">
        <v>15</v>
      </c>
      <c r="B21" s="6" t="s">
        <v>82</v>
      </c>
      <c r="C21" s="26" t="s">
        <v>232</v>
      </c>
      <c r="D21" s="29">
        <v>0</v>
      </c>
      <c r="F21" s="22">
        <f>ROUND(SUMIF(Определители!I6:I15,"=1",'Базовые цены с учетом расхода'!V6:V15),2)</f>
        <v>0</v>
      </c>
      <c r="G21" s="22"/>
      <c r="H21" s="22"/>
      <c r="I21" s="22"/>
      <c r="J21" s="31"/>
      <c r="K21" s="31"/>
      <c r="L21" s="22"/>
      <c r="N21" s="26" t="s">
        <v>245</v>
      </c>
    </row>
    <row r="22" spans="1:14" ht="10.5">
      <c r="A22" s="23">
        <v>16</v>
      </c>
      <c r="B22" s="6" t="s">
        <v>83</v>
      </c>
      <c r="C22" s="26" t="s">
        <v>232</v>
      </c>
      <c r="D22" s="29">
        <v>0</v>
      </c>
      <c r="F22" s="22" t="e">
        <f>ROUND(СУММЕСЛИ2(Определители!I6:I15,"1",Определители!G6:G15,"1",'Базовые цены с учетом расхода'!B6:B15),2)</f>
        <v>#NAME?</v>
      </c>
      <c r="G22" s="22"/>
      <c r="H22" s="22"/>
      <c r="I22" s="22"/>
      <c r="J22" s="31"/>
      <c r="K22" s="31"/>
      <c r="L22" s="22"/>
      <c r="N22" s="26" t="s">
        <v>246</v>
      </c>
    </row>
    <row r="23" spans="1:14" ht="10.5">
      <c r="A23" s="23">
        <v>17</v>
      </c>
      <c r="B23" s="6" t="s">
        <v>84</v>
      </c>
      <c r="C23" s="26" t="s">
        <v>232</v>
      </c>
      <c r="D23" s="29">
        <v>0</v>
      </c>
      <c r="F23" s="22">
        <f>ROUND(SUMIF(Определители!I6:I15,"=1",'Базовые цены с учетом расхода'!H6:H15),2)</f>
        <v>0</v>
      </c>
      <c r="G23" s="22"/>
      <c r="H23" s="22"/>
      <c r="I23" s="22"/>
      <c r="J23" s="31"/>
      <c r="K23" s="31"/>
      <c r="L23" s="22"/>
      <c r="N23" s="26" t="s">
        <v>247</v>
      </c>
    </row>
    <row r="24" spans="1:14" ht="10.5">
      <c r="A24" s="23">
        <v>18</v>
      </c>
      <c r="B24" s="6" t="s">
        <v>85</v>
      </c>
      <c r="C24" s="26" t="s">
        <v>232</v>
      </c>
      <c r="D24" s="29">
        <v>0</v>
      </c>
      <c r="F24" s="22">
        <f>ROUND(SUMIF(Определители!I6:I15,"=1",'Базовые цены с учетом расхода'!N6:N15),2)</f>
        <v>0</v>
      </c>
      <c r="G24" s="22"/>
      <c r="H24" s="22"/>
      <c r="I24" s="22"/>
      <c r="J24" s="31"/>
      <c r="K24" s="31"/>
      <c r="L24" s="22"/>
      <c r="N24" s="26" t="s">
        <v>248</v>
      </c>
    </row>
    <row r="25" spans="1:14" ht="10.5">
      <c r="A25" s="23">
        <v>19</v>
      </c>
      <c r="B25" s="6" t="s">
        <v>86</v>
      </c>
      <c r="C25" s="26" t="s">
        <v>232</v>
      </c>
      <c r="D25" s="29">
        <v>0</v>
      </c>
      <c r="F25" s="22">
        <f>ROUND(SUMIF(Определители!I6:I15,"=1",'Базовые цены с учетом расхода'!O6:O15),2)</f>
        <v>0</v>
      </c>
      <c r="G25" s="22"/>
      <c r="H25" s="22"/>
      <c r="I25" s="22"/>
      <c r="J25" s="31"/>
      <c r="K25" s="31"/>
      <c r="L25" s="22"/>
      <c r="N25" s="26" t="s">
        <v>249</v>
      </c>
    </row>
    <row r="26" spans="1:14" ht="10.5">
      <c r="A26" s="23">
        <v>20</v>
      </c>
      <c r="B26" s="6" t="s">
        <v>77</v>
      </c>
      <c r="C26" s="26" t="s">
        <v>232</v>
      </c>
      <c r="D26" s="29">
        <v>0</v>
      </c>
      <c r="F26" s="22" t="e">
        <f>ROUND(СУММПРОИЗВЕСЛИ(1,Определители!I6:I15," ",'Базовые цены с учетом расхода'!M6:M15,Начисления!I6:I15,0),2)</f>
        <v>#NAME?</v>
      </c>
      <c r="G26" s="22"/>
      <c r="H26" s="22"/>
      <c r="I26" s="22"/>
      <c r="J26" s="31"/>
      <c r="K26" s="31"/>
      <c r="L26" s="22"/>
      <c r="N26" s="26" t="s">
        <v>250</v>
      </c>
    </row>
    <row r="27" spans="1:14" ht="10.5">
      <c r="A27" s="23">
        <v>21</v>
      </c>
      <c r="B27" s="6" t="s">
        <v>87</v>
      </c>
      <c r="C27" s="26" t="s">
        <v>239</v>
      </c>
      <c r="D27" s="29">
        <v>0</v>
      </c>
      <c r="F27" s="22">
        <f>ROUND((F18+F24+F25),2)</f>
        <v>0</v>
      </c>
      <c r="G27" s="22"/>
      <c r="H27" s="22"/>
      <c r="I27" s="22"/>
      <c r="J27" s="31"/>
      <c r="K27" s="31"/>
      <c r="L27" s="22"/>
      <c r="N27" s="26" t="s">
        <v>251</v>
      </c>
    </row>
    <row r="28" spans="1:14" ht="10.5">
      <c r="A28" s="23">
        <v>22</v>
      </c>
      <c r="B28" s="6" t="s">
        <v>88</v>
      </c>
      <c r="C28" s="26" t="s">
        <v>232</v>
      </c>
      <c r="D28" s="29">
        <v>0</v>
      </c>
      <c r="F28" s="22">
        <f>ROUND(SUMIF(Определители!I6:I15,"=2",'Базовые цены с учетом расхода'!B6:B15),2)</f>
        <v>2418.39</v>
      </c>
      <c r="G28" s="22">
        <f>ROUND(SUMIF(Определители!I6:I15,"=2",'Базовые цены с учетом расхода'!C6:C15),2)</f>
        <v>144.87</v>
      </c>
      <c r="H28" s="22">
        <f>ROUND(SUMIF(Определители!I6:I15,"=2",'Базовые цены с учетом расхода'!D6:D15),2)</f>
        <v>6.53</v>
      </c>
      <c r="I28" s="22">
        <f>ROUND(SUMIF(Определители!I6:I15,"=2",'Базовые цены с учетом расхода'!E6:E15),2)</f>
        <v>0.44</v>
      </c>
      <c r="J28" s="31" t="e">
        <f>ROUND(SUMIF(Определители!I6:I15,"=2",'Базовые цены с учетом расхода'!I6:I15),8)</f>
        <v>#NAME?</v>
      </c>
      <c r="K28" s="31" t="e">
        <f>ROUND(SUMIF(Определители!I6:I15,"=2",'Базовые цены с учетом расхода'!K6:K15),8)</f>
        <v>#NAME?</v>
      </c>
      <c r="L28" s="22">
        <f>ROUND(SUMIF(Определители!I6:I15,"=2",'Базовые цены с учетом расхода'!F6:F15),2)</f>
        <v>2266.99</v>
      </c>
      <c r="N28" s="26" t="s">
        <v>252</v>
      </c>
    </row>
    <row r="29" spans="1:14" ht="10.5">
      <c r="A29" s="23">
        <v>23</v>
      </c>
      <c r="B29" s="6" t="s">
        <v>80</v>
      </c>
      <c r="C29" s="26" t="s">
        <v>232</v>
      </c>
      <c r="D29" s="29">
        <v>0</v>
      </c>
      <c r="F29" s="22"/>
      <c r="G29" s="22"/>
      <c r="H29" s="22"/>
      <c r="I29" s="22"/>
      <c r="J29" s="31"/>
      <c r="K29" s="31"/>
      <c r="L29" s="22"/>
      <c r="N29" s="26" t="s">
        <v>253</v>
      </c>
    </row>
    <row r="30" spans="1:14" ht="10.5">
      <c r="A30" s="23">
        <v>24</v>
      </c>
      <c r="B30" s="6" t="s">
        <v>89</v>
      </c>
      <c r="C30" s="26" t="s">
        <v>232</v>
      </c>
      <c r="D30" s="29">
        <v>0</v>
      </c>
      <c r="F30" s="22">
        <f>ROUND(SUMIF(Определители!G6:G15,"=1",'Базовые цены с учетом расхода'!F6:F15),2)</f>
        <v>0.81</v>
      </c>
      <c r="G30" s="22"/>
      <c r="H30" s="22"/>
      <c r="I30" s="22"/>
      <c r="J30" s="31"/>
      <c r="K30" s="31"/>
      <c r="L30" s="22"/>
      <c r="N30" s="26" t="s">
        <v>254</v>
      </c>
    </row>
    <row r="31" spans="1:14" ht="10.5">
      <c r="A31" s="23">
        <v>25</v>
      </c>
      <c r="B31" s="6" t="s">
        <v>84</v>
      </c>
      <c r="C31" s="26" t="s">
        <v>232</v>
      </c>
      <c r="D31" s="29">
        <v>0</v>
      </c>
      <c r="F31" s="22">
        <f>ROUND(SUMIF(Определители!I6:I15,"=2",'Базовые цены с учетом расхода'!H6:H15),2)</f>
        <v>0</v>
      </c>
      <c r="G31" s="22"/>
      <c r="H31" s="22"/>
      <c r="I31" s="22"/>
      <c r="J31" s="31"/>
      <c r="K31" s="31"/>
      <c r="L31" s="22"/>
      <c r="N31" s="26" t="s">
        <v>255</v>
      </c>
    </row>
    <row r="32" spans="1:14" ht="10.5">
      <c r="A32" s="23">
        <v>26</v>
      </c>
      <c r="B32" s="6" t="s">
        <v>85</v>
      </c>
      <c r="C32" s="26" t="s">
        <v>232</v>
      </c>
      <c r="D32" s="29">
        <v>0</v>
      </c>
      <c r="F32" s="22">
        <f>ROUND(SUMIF(Определители!I6:I15,"=2",'Базовые цены с учетом расхода'!N6:N15),2)</f>
        <v>152.79</v>
      </c>
      <c r="G32" s="22"/>
      <c r="H32" s="22"/>
      <c r="I32" s="22"/>
      <c r="J32" s="31"/>
      <c r="K32" s="31"/>
      <c r="L32" s="22"/>
      <c r="N32" s="26" t="s">
        <v>256</v>
      </c>
    </row>
    <row r="33" spans="1:14" ht="10.5">
      <c r="A33" s="23">
        <v>27</v>
      </c>
      <c r="B33" s="6" t="s">
        <v>86</v>
      </c>
      <c r="C33" s="26" t="s">
        <v>232</v>
      </c>
      <c r="D33" s="29">
        <v>0</v>
      </c>
      <c r="F33" s="22">
        <f>ROUND(SUMIF(Определители!I6:I15,"=2",'Базовые цены с учетом расхода'!O6:O15),2)</f>
        <v>111</v>
      </c>
      <c r="G33" s="22"/>
      <c r="H33" s="22"/>
      <c r="I33" s="22"/>
      <c r="J33" s="31"/>
      <c r="K33" s="31"/>
      <c r="L33" s="22"/>
      <c r="N33" s="26" t="s">
        <v>257</v>
      </c>
    </row>
    <row r="34" spans="1:14" ht="10.5">
      <c r="A34" s="23">
        <v>28</v>
      </c>
      <c r="B34" s="6" t="s">
        <v>92</v>
      </c>
      <c r="C34" s="26" t="s">
        <v>239</v>
      </c>
      <c r="D34" s="29">
        <v>0</v>
      </c>
      <c r="F34" s="22">
        <f>ROUND((F28+F32+F33),2)</f>
        <v>2682.18</v>
      </c>
      <c r="G34" s="22"/>
      <c r="H34" s="22"/>
      <c r="I34" s="22"/>
      <c r="J34" s="31"/>
      <c r="K34" s="31"/>
      <c r="L34" s="22"/>
      <c r="N34" s="26" t="s">
        <v>258</v>
      </c>
    </row>
    <row r="35" spans="1:14" ht="10.5">
      <c r="A35" s="23">
        <v>29</v>
      </c>
      <c r="B35" s="6" t="s">
        <v>93</v>
      </c>
      <c r="C35" s="26" t="s">
        <v>232</v>
      </c>
      <c r="D35" s="29">
        <v>0</v>
      </c>
      <c r="F35" s="22">
        <f>ROUND(SUMIF(Определители!I6:I15,"=3",'Базовые цены с учетом расхода'!B6:B15),2)</f>
        <v>0</v>
      </c>
      <c r="G35" s="22">
        <f>ROUND(SUMIF(Определители!I6:I15,"=3",'Базовые цены с учетом расхода'!C6:C15),2)</f>
        <v>0</v>
      </c>
      <c r="H35" s="22">
        <f>ROUND(SUMIF(Определители!I6:I15,"=3",'Базовые цены с учетом расхода'!D6:D15),2)</f>
        <v>0</v>
      </c>
      <c r="I35" s="22">
        <f>ROUND(SUMIF(Определители!I6:I15,"=3",'Базовые цены с учетом расхода'!E6:E15),2)</f>
        <v>0</v>
      </c>
      <c r="J35" s="31">
        <f>ROUND(SUMIF(Определители!I6:I15,"=3",'Базовые цены с учетом расхода'!I6:I15),8)</f>
        <v>0</v>
      </c>
      <c r="K35" s="31">
        <f>ROUND(SUMIF(Определители!I6:I15,"=3",'Базовые цены с учетом расхода'!K6:K15),8)</f>
        <v>0</v>
      </c>
      <c r="L35" s="22">
        <f>ROUND(SUMIF(Определители!I6:I15,"=3",'Базовые цены с учетом расхода'!F6:F15),2)</f>
        <v>0</v>
      </c>
      <c r="N35" s="26" t="s">
        <v>259</v>
      </c>
    </row>
    <row r="36" spans="1:14" ht="10.5">
      <c r="A36" s="23">
        <v>30</v>
      </c>
      <c r="B36" s="6" t="s">
        <v>84</v>
      </c>
      <c r="C36" s="26" t="s">
        <v>232</v>
      </c>
      <c r="D36" s="29">
        <v>0</v>
      </c>
      <c r="F36" s="22">
        <f>ROUND(SUMIF(Определители!I6:I15,"=3",'Базовые цены с учетом расхода'!H6:H15),2)</f>
        <v>0</v>
      </c>
      <c r="G36" s="22"/>
      <c r="H36" s="22"/>
      <c r="I36" s="22"/>
      <c r="J36" s="31"/>
      <c r="K36" s="31"/>
      <c r="L36" s="22"/>
      <c r="N36" s="26" t="s">
        <v>260</v>
      </c>
    </row>
    <row r="37" spans="1:14" ht="10.5">
      <c r="A37" s="23">
        <v>31</v>
      </c>
      <c r="B37" s="6" t="s">
        <v>85</v>
      </c>
      <c r="C37" s="26" t="s">
        <v>232</v>
      </c>
      <c r="D37" s="29">
        <v>0</v>
      </c>
      <c r="F37" s="22">
        <f>ROUND(SUMIF(Определители!I6:I15,"=3",'Базовые цены с учетом расхода'!N6:N15),2)</f>
        <v>0</v>
      </c>
      <c r="G37" s="22"/>
      <c r="H37" s="22"/>
      <c r="I37" s="22"/>
      <c r="J37" s="31"/>
      <c r="K37" s="31"/>
      <c r="L37" s="22"/>
      <c r="N37" s="26" t="s">
        <v>261</v>
      </c>
    </row>
    <row r="38" spans="1:14" ht="10.5">
      <c r="A38" s="23">
        <v>32</v>
      </c>
      <c r="B38" s="6" t="s">
        <v>86</v>
      </c>
      <c r="C38" s="26" t="s">
        <v>232</v>
      </c>
      <c r="D38" s="29">
        <v>0</v>
      </c>
      <c r="F38" s="22">
        <f>ROUND(SUMIF(Определители!I6:I15,"=3",'Базовые цены с учетом расхода'!O6:O15),2)</f>
        <v>0</v>
      </c>
      <c r="G38" s="22"/>
      <c r="H38" s="22"/>
      <c r="I38" s="22"/>
      <c r="J38" s="31"/>
      <c r="K38" s="31"/>
      <c r="L38" s="22"/>
      <c r="N38" s="26" t="s">
        <v>262</v>
      </c>
    </row>
    <row r="39" spans="1:14" ht="10.5">
      <c r="A39" s="23">
        <v>33</v>
      </c>
      <c r="B39" s="6" t="s">
        <v>94</v>
      </c>
      <c r="C39" s="26" t="s">
        <v>239</v>
      </c>
      <c r="D39" s="29">
        <v>0</v>
      </c>
      <c r="F39" s="22">
        <f>ROUND((F35+F37+F38),2)</f>
        <v>0</v>
      </c>
      <c r="G39" s="22"/>
      <c r="H39" s="22"/>
      <c r="I39" s="22"/>
      <c r="J39" s="31"/>
      <c r="K39" s="31"/>
      <c r="L39" s="22"/>
      <c r="N39" s="26" t="s">
        <v>263</v>
      </c>
    </row>
    <row r="40" spans="1:14" ht="10.5">
      <c r="A40" s="23">
        <v>34</v>
      </c>
      <c r="B40" s="6" t="s">
        <v>95</v>
      </c>
      <c r="C40" s="26" t="s">
        <v>232</v>
      </c>
      <c r="D40" s="29">
        <v>0</v>
      </c>
      <c r="F40" s="22">
        <f>ROUND(SUMIF(Определители!I6:I15,"=4",'Базовые цены с учетом расхода'!B6:B15),2)</f>
        <v>501.74</v>
      </c>
      <c r="G40" s="22">
        <f>ROUND(SUMIF(Определители!I6:I15,"=4",'Базовые цены с учетом расхода'!C6:C15),2)</f>
        <v>115.96</v>
      </c>
      <c r="H40" s="22">
        <f>ROUND(SUMIF(Определители!I6:I15,"=4",'Базовые цены с учетом расхода'!D6:D15),2)</f>
        <v>8.4</v>
      </c>
      <c r="I40" s="22">
        <f>ROUND(SUMIF(Определители!I6:I15,"=4",'Базовые цены с учетом расхода'!E6:E15),2)</f>
        <v>0.25</v>
      </c>
      <c r="J40" s="31" t="e">
        <f>ROUND(SUMIF(Определители!I6:I15,"=4",'Базовые цены с учетом расхода'!I6:I15),8)</f>
        <v>#NAME?</v>
      </c>
      <c r="K40" s="31" t="e">
        <f>ROUND(SUMIF(Определители!I6:I15,"=4",'Базовые цены с учетом расхода'!K6:K15),8)</f>
        <v>#NAME?</v>
      </c>
      <c r="L40" s="22">
        <f>ROUND(SUMIF(Определители!I6:I15,"=4",'Базовые цены с учетом расхода'!F6:F15),2)</f>
        <v>377.38</v>
      </c>
      <c r="N40" s="26" t="s">
        <v>264</v>
      </c>
    </row>
    <row r="41" spans="1:14" ht="10.5">
      <c r="A41" s="23">
        <v>35</v>
      </c>
      <c r="B41" s="6" t="s">
        <v>80</v>
      </c>
      <c r="C41" s="26" t="s">
        <v>232</v>
      </c>
      <c r="D41" s="29">
        <v>0</v>
      </c>
      <c r="F41" s="22"/>
      <c r="G41" s="22"/>
      <c r="H41" s="22"/>
      <c r="I41" s="22"/>
      <c r="J41" s="31"/>
      <c r="K41" s="31"/>
      <c r="L41" s="22"/>
      <c r="N41" s="26" t="s">
        <v>265</v>
      </c>
    </row>
    <row r="42" spans="1:14" ht="10.5">
      <c r="A42" s="23">
        <v>36</v>
      </c>
      <c r="B42" s="6" t="s">
        <v>96</v>
      </c>
      <c r="C42" s="26" t="s">
        <v>232</v>
      </c>
      <c r="D42" s="29">
        <v>0</v>
      </c>
      <c r="F42" s="22"/>
      <c r="G42" s="22"/>
      <c r="H42" s="22"/>
      <c r="I42" s="22"/>
      <c r="J42" s="31"/>
      <c r="K42" s="31"/>
      <c r="L42" s="22"/>
      <c r="N42" s="26" t="s">
        <v>266</v>
      </c>
    </row>
    <row r="43" spans="1:14" ht="10.5">
      <c r="A43" s="23">
        <v>37</v>
      </c>
      <c r="B43" s="6" t="s">
        <v>84</v>
      </c>
      <c r="C43" s="26" t="s">
        <v>232</v>
      </c>
      <c r="D43" s="29">
        <v>0</v>
      </c>
      <c r="F43" s="22">
        <f>ROUND(SUMIF(Определители!I6:I15,"=4",'Базовые цены с учетом расхода'!H6:H15),2)</f>
        <v>0</v>
      </c>
      <c r="G43" s="22"/>
      <c r="H43" s="22"/>
      <c r="I43" s="22"/>
      <c r="J43" s="31"/>
      <c r="K43" s="31"/>
      <c r="L43" s="22"/>
      <c r="N43" s="26" t="s">
        <v>267</v>
      </c>
    </row>
    <row r="44" spans="1:14" ht="10.5">
      <c r="A44" s="23">
        <v>38</v>
      </c>
      <c r="B44" s="6" t="s">
        <v>85</v>
      </c>
      <c r="C44" s="26" t="s">
        <v>232</v>
      </c>
      <c r="D44" s="29">
        <v>0</v>
      </c>
      <c r="F44" s="22">
        <f>ROUND(SUMIF(Определители!I6:I15,"=4",'Базовые цены с учетом расхода'!N6:N15),2)</f>
        <v>125.67</v>
      </c>
      <c r="G44" s="22"/>
      <c r="H44" s="22"/>
      <c r="I44" s="22"/>
      <c r="J44" s="31"/>
      <c r="K44" s="31"/>
      <c r="L44" s="22"/>
      <c r="N44" s="26" t="s">
        <v>268</v>
      </c>
    </row>
    <row r="45" spans="1:14" ht="10.5">
      <c r="A45" s="23">
        <v>39</v>
      </c>
      <c r="B45" s="6" t="s">
        <v>86</v>
      </c>
      <c r="C45" s="26" t="s">
        <v>232</v>
      </c>
      <c r="D45" s="29">
        <v>0</v>
      </c>
      <c r="F45" s="22">
        <f>ROUND(SUMIF(Определители!I6:I15,"=4",'Базовые цены с учетом расхода'!O6:O15),2)</f>
        <v>75.2</v>
      </c>
      <c r="G45" s="22"/>
      <c r="H45" s="22"/>
      <c r="I45" s="22"/>
      <c r="J45" s="31"/>
      <c r="K45" s="31"/>
      <c r="L45" s="22"/>
      <c r="N45" s="26" t="s">
        <v>269</v>
      </c>
    </row>
    <row r="46" spans="1:14" ht="10.5">
      <c r="A46" s="23">
        <v>40</v>
      </c>
      <c r="B46" s="6" t="s">
        <v>77</v>
      </c>
      <c r="C46" s="26" t="s">
        <v>232</v>
      </c>
      <c r="D46" s="29">
        <v>0</v>
      </c>
      <c r="F46" s="22" t="e">
        <f>ROUND(СУММПРОИЗВЕСЛИ(1,Определители!I6:I15," ",'Базовые цены с учетом расхода'!M6:M15,Начисления!I6:I15,0),2)</f>
        <v>#NAME?</v>
      </c>
      <c r="G46" s="22"/>
      <c r="H46" s="22"/>
      <c r="I46" s="22"/>
      <c r="J46" s="31"/>
      <c r="K46" s="31"/>
      <c r="L46" s="22"/>
      <c r="N46" s="26" t="s">
        <v>270</v>
      </c>
    </row>
    <row r="47" spans="1:14" ht="10.5">
      <c r="A47" s="23">
        <v>41</v>
      </c>
      <c r="B47" s="6" t="s">
        <v>99</v>
      </c>
      <c r="C47" s="26" t="s">
        <v>239</v>
      </c>
      <c r="D47" s="29">
        <v>0</v>
      </c>
      <c r="F47" s="22">
        <f>ROUND((F40+F44+F45),2)</f>
        <v>702.61</v>
      </c>
      <c r="G47" s="22"/>
      <c r="H47" s="22"/>
      <c r="I47" s="22"/>
      <c r="J47" s="31"/>
      <c r="K47" s="31"/>
      <c r="L47" s="22"/>
      <c r="N47" s="26" t="s">
        <v>271</v>
      </c>
    </row>
    <row r="48" spans="1:14" ht="10.5">
      <c r="A48" s="23">
        <v>42</v>
      </c>
      <c r="B48" s="6" t="s">
        <v>100</v>
      </c>
      <c r="C48" s="26" t="s">
        <v>232</v>
      </c>
      <c r="D48" s="29">
        <v>0</v>
      </c>
      <c r="F48" s="22">
        <f>ROUND(SUMIF(Определители!I6:I15,"=5",'Базовые цены с учетом расхода'!B6:B15),2)</f>
        <v>0</v>
      </c>
      <c r="G48" s="22">
        <f>ROUND(SUMIF(Определители!I6:I15,"=5",'Базовые цены с учетом расхода'!C6:C15),2)</f>
        <v>0</v>
      </c>
      <c r="H48" s="22">
        <f>ROUND(SUMIF(Определители!I6:I15,"=5",'Базовые цены с учетом расхода'!D6:D15),2)</f>
        <v>0</v>
      </c>
      <c r="I48" s="22">
        <f>ROUND(SUMIF(Определители!I6:I15,"=5",'Базовые цены с учетом расхода'!E6:E15),2)</f>
        <v>0</v>
      </c>
      <c r="J48" s="31">
        <f>ROUND(SUMIF(Определители!I6:I15,"=5",'Базовые цены с учетом расхода'!I6:I15),8)</f>
        <v>0</v>
      </c>
      <c r="K48" s="31">
        <f>ROUND(SUMIF(Определители!I6:I15,"=5",'Базовые цены с учетом расхода'!K6:K15),8)</f>
        <v>0</v>
      </c>
      <c r="L48" s="22">
        <f>ROUND(SUMIF(Определители!I6:I15,"=5",'Базовые цены с учетом расхода'!F6:F15),2)</f>
        <v>0</v>
      </c>
      <c r="N48" s="26" t="s">
        <v>272</v>
      </c>
    </row>
    <row r="49" spans="1:14" ht="10.5">
      <c r="A49" s="23">
        <v>43</v>
      </c>
      <c r="B49" s="6" t="s">
        <v>84</v>
      </c>
      <c r="C49" s="26" t="s">
        <v>232</v>
      </c>
      <c r="D49" s="29">
        <v>0</v>
      </c>
      <c r="F49" s="22">
        <f>ROUND(SUMIF(Определители!I6:I15,"=5",'Базовые цены с учетом расхода'!H6:H15),2)</f>
        <v>0</v>
      </c>
      <c r="G49" s="22"/>
      <c r="H49" s="22"/>
      <c r="I49" s="22"/>
      <c r="J49" s="31"/>
      <c r="K49" s="31"/>
      <c r="L49" s="22"/>
      <c r="N49" s="26" t="s">
        <v>273</v>
      </c>
    </row>
    <row r="50" spans="1:14" ht="10.5">
      <c r="A50" s="23">
        <v>44</v>
      </c>
      <c r="B50" s="6" t="s">
        <v>85</v>
      </c>
      <c r="C50" s="26" t="s">
        <v>232</v>
      </c>
      <c r="D50" s="29">
        <v>0</v>
      </c>
      <c r="F50" s="22">
        <f>ROUND(SUMIF(Определители!I6:I15,"=5",'Базовые цены с учетом расхода'!N6:N15),2)</f>
        <v>0</v>
      </c>
      <c r="G50" s="22"/>
      <c r="H50" s="22"/>
      <c r="I50" s="22"/>
      <c r="J50" s="31"/>
      <c r="K50" s="31"/>
      <c r="L50" s="22"/>
      <c r="N50" s="26" t="s">
        <v>274</v>
      </c>
    </row>
    <row r="51" spans="1:14" ht="10.5">
      <c r="A51" s="23">
        <v>45</v>
      </c>
      <c r="B51" s="6" t="s">
        <v>86</v>
      </c>
      <c r="C51" s="26" t="s">
        <v>232</v>
      </c>
      <c r="D51" s="29">
        <v>0</v>
      </c>
      <c r="F51" s="22">
        <f>ROUND(SUMIF(Определители!I6:I15,"=5",'Базовые цены с учетом расхода'!O6:O15),2)</f>
        <v>0</v>
      </c>
      <c r="G51" s="22"/>
      <c r="H51" s="22"/>
      <c r="I51" s="22"/>
      <c r="J51" s="31"/>
      <c r="K51" s="31"/>
      <c r="L51" s="22"/>
      <c r="N51" s="26" t="s">
        <v>275</v>
      </c>
    </row>
    <row r="52" spans="1:14" ht="10.5">
      <c r="A52" s="23">
        <v>46</v>
      </c>
      <c r="B52" s="6" t="s">
        <v>101</v>
      </c>
      <c r="C52" s="26" t="s">
        <v>239</v>
      </c>
      <c r="D52" s="29">
        <v>0</v>
      </c>
      <c r="F52" s="22">
        <f>ROUND((F48+F50+F51),2)</f>
        <v>0</v>
      </c>
      <c r="G52" s="22"/>
      <c r="H52" s="22"/>
      <c r="I52" s="22"/>
      <c r="J52" s="31"/>
      <c r="K52" s="31"/>
      <c r="L52" s="22"/>
      <c r="N52" s="26" t="s">
        <v>276</v>
      </c>
    </row>
    <row r="53" spans="1:14" ht="10.5">
      <c r="A53" s="23">
        <v>47</v>
      </c>
      <c r="B53" s="6" t="s">
        <v>102</v>
      </c>
      <c r="C53" s="26" t="s">
        <v>232</v>
      </c>
      <c r="D53" s="29">
        <v>0</v>
      </c>
      <c r="F53" s="22">
        <f>ROUND(SUMIF(Определители!I6:I15,"=6",'Базовые цены с учетом расхода'!B6:B15),2)</f>
        <v>0</v>
      </c>
      <c r="G53" s="22">
        <f>ROUND(SUMIF(Определители!I6:I15,"=6",'Базовые цены с учетом расхода'!C6:C15),2)</f>
        <v>0</v>
      </c>
      <c r="H53" s="22">
        <f>ROUND(SUMIF(Определители!I6:I15,"=6",'Базовые цены с учетом расхода'!D6:D15),2)</f>
        <v>0</v>
      </c>
      <c r="I53" s="22">
        <f>ROUND(SUMIF(Определители!I6:I15,"=6",'Базовые цены с учетом расхода'!E6:E15),2)</f>
        <v>0</v>
      </c>
      <c r="J53" s="31">
        <f>ROUND(SUMIF(Определители!I6:I15,"=6",'Базовые цены с учетом расхода'!I6:I15),8)</f>
        <v>0</v>
      </c>
      <c r="K53" s="31">
        <f>ROUND(SUMIF(Определители!I6:I15,"=6",'Базовые цены с учетом расхода'!K6:K15),8)</f>
        <v>0</v>
      </c>
      <c r="L53" s="22">
        <f>ROUND(SUMIF(Определители!I6:I15,"=6",'Базовые цены с учетом расхода'!F6:F15),2)</f>
        <v>0</v>
      </c>
      <c r="N53" s="26" t="s">
        <v>277</v>
      </c>
    </row>
    <row r="54" spans="1:14" ht="10.5">
      <c r="A54" s="23">
        <v>48</v>
      </c>
      <c r="B54" s="6" t="s">
        <v>84</v>
      </c>
      <c r="C54" s="26" t="s">
        <v>232</v>
      </c>
      <c r="D54" s="29">
        <v>0</v>
      </c>
      <c r="F54" s="22">
        <f>ROUND(SUMIF(Определители!I6:I15,"=6",'Базовые цены с учетом расхода'!H6:H15),2)</f>
        <v>0</v>
      </c>
      <c r="G54" s="22"/>
      <c r="H54" s="22"/>
      <c r="I54" s="22"/>
      <c r="J54" s="31"/>
      <c r="K54" s="31"/>
      <c r="L54" s="22"/>
      <c r="N54" s="26" t="s">
        <v>278</v>
      </c>
    </row>
    <row r="55" spans="1:14" ht="10.5">
      <c r="A55" s="23">
        <v>49</v>
      </c>
      <c r="B55" s="6" t="s">
        <v>85</v>
      </c>
      <c r="C55" s="26" t="s">
        <v>232</v>
      </c>
      <c r="D55" s="29">
        <v>0</v>
      </c>
      <c r="F55" s="22">
        <f>ROUND(SUMIF(Определители!I6:I15,"=6",'Базовые цены с учетом расхода'!N6:N15),2)</f>
        <v>0</v>
      </c>
      <c r="G55" s="22"/>
      <c r="H55" s="22"/>
      <c r="I55" s="22"/>
      <c r="J55" s="31"/>
      <c r="K55" s="31"/>
      <c r="L55" s="22"/>
      <c r="N55" s="26" t="s">
        <v>279</v>
      </c>
    </row>
    <row r="56" spans="1:14" ht="10.5">
      <c r="A56" s="23">
        <v>50</v>
      </c>
      <c r="B56" s="6" t="s">
        <v>86</v>
      </c>
      <c r="C56" s="26" t="s">
        <v>232</v>
      </c>
      <c r="D56" s="29">
        <v>0</v>
      </c>
      <c r="F56" s="22">
        <f>ROUND(SUMIF(Определители!I6:I15,"=6",'Базовые цены с учетом расхода'!O6:O15),2)</f>
        <v>0</v>
      </c>
      <c r="G56" s="22"/>
      <c r="H56" s="22"/>
      <c r="I56" s="22"/>
      <c r="J56" s="31"/>
      <c r="K56" s="31"/>
      <c r="L56" s="22"/>
      <c r="N56" s="26" t="s">
        <v>280</v>
      </c>
    </row>
    <row r="57" spans="1:14" ht="10.5">
      <c r="A57" s="23">
        <v>51</v>
      </c>
      <c r="B57" s="6" t="s">
        <v>103</v>
      </c>
      <c r="C57" s="26" t="s">
        <v>239</v>
      </c>
      <c r="D57" s="29">
        <v>0</v>
      </c>
      <c r="F57" s="22">
        <f>ROUND((F53+F55+F56),2)</f>
        <v>0</v>
      </c>
      <c r="G57" s="22"/>
      <c r="H57" s="22"/>
      <c r="I57" s="22"/>
      <c r="J57" s="31"/>
      <c r="K57" s="31"/>
      <c r="L57" s="22"/>
      <c r="N57" s="26" t="s">
        <v>281</v>
      </c>
    </row>
    <row r="58" spans="1:14" ht="10.5">
      <c r="A58" s="23">
        <v>52</v>
      </c>
      <c r="B58" s="6" t="s">
        <v>104</v>
      </c>
      <c r="C58" s="26" t="s">
        <v>232</v>
      </c>
      <c r="D58" s="29">
        <v>0</v>
      </c>
      <c r="F58" s="22">
        <f>ROUND(SUMIF(Определители!I6:I15,"=7",'Базовые цены с учетом расхода'!B6:B15),2)</f>
        <v>0</v>
      </c>
      <c r="G58" s="22">
        <f>ROUND(SUMIF(Определители!I6:I15,"=7",'Базовые цены с учетом расхода'!C6:C15),2)</f>
        <v>0</v>
      </c>
      <c r="H58" s="22">
        <f>ROUND(SUMIF(Определители!I6:I15,"=7",'Базовые цены с учетом расхода'!D6:D15),2)</f>
        <v>0</v>
      </c>
      <c r="I58" s="22">
        <f>ROUND(SUMIF(Определители!I6:I15,"=7",'Базовые цены с учетом расхода'!E6:E15),2)</f>
        <v>0</v>
      </c>
      <c r="J58" s="31">
        <f>ROUND(SUMIF(Определители!I6:I15,"=7",'Базовые цены с учетом расхода'!I6:I15),8)</f>
        <v>0</v>
      </c>
      <c r="K58" s="31">
        <f>ROUND(SUMIF(Определители!I6:I15,"=7",'Базовые цены с учетом расхода'!K6:K15),8)</f>
        <v>0</v>
      </c>
      <c r="L58" s="22">
        <f>ROUND(SUMIF(Определители!I6:I15,"=7",'Базовые цены с учетом расхода'!F6:F15),2)</f>
        <v>0</v>
      </c>
      <c r="N58" s="26" t="s">
        <v>282</v>
      </c>
    </row>
    <row r="59" spans="1:14" ht="10.5">
      <c r="A59" s="23">
        <v>53</v>
      </c>
      <c r="B59" s="6" t="s">
        <v>80</v>
      </c>
      <c r="C59" s="26" t="s">
        <v>232</v>
      </c>
      <c r="D59" s="29">
        <v>0</v>
      </c>
      <c r="F59" s="22"/>
      <c r="G59" s="22"/>
      <c r="H59" s="22"/>
      <c r="I59" s="22"/>
      <c r="J59" s="31"/>
      <c r="K59" s="31"/>
      <c r="L59" s="22"/>
      <c r="N59" s="26" t="s">
        <v>283</v>
      </c>
    </row>
    <row r="60" spans="1:14" ht="10.5">
      <c r="A60" s="23">
        <v>54</v>
      </c>
      <c r="B60" s="6" t="s">
        <v>105</v>
      </c>
      <c r="C60" s="26" t="s">
        <v>232</v>
      </c>
      <c r="D60" s="29">
        <v>0</v>
      </c>
      <c r="F60" s="22">
        <f>ROUND(SUMIF(Определители!G6:G15,"=1",'Базовые цены с учетом расхода'!F6:F15),2)</f>
        <v>0.81</v>
      </c>
      <c r="G60" s="22"/>
      <c r="H60" s="22"/>
      <c r="I60" s="22"/>
      <c r="J60" s="31"/>
      <c r="K60" s="31"/>
      <c r="L60" s="22"/>
      <c r="N60" s="26" t="s">
        <v>284</v>
      </c>
    </row>
    <row r="61" spans="1:14" ht="10.5">
      <c r="A61" s="23">
        <v>55</v>
      </c>
      <c r="B61" s="6" t="s">
        <v>84</v>
      </c>
      <c r="C61" s="26" t="s">
        <v>232</v>
      </c>
      <c r="D61" s="29">
        <v>0</v>
      </c>
      <c r="F61" s="22">
        <f>ROUND(SUMIF(Определители!I6:I15,"=7",'Базовые цены с учетом расхода'!H6:H15),2)</f>
        <v>0</v>
      </c>
      <c r="G61" s="22"/>
      <c r="H61" s="22"/>
      <c r="I61" s="22"/>
      <c r="J61" s="31"/>
      <c r="K61" s="31"/>
      <c r="L61" s="22"/>
      <c r="N61" s="26" t="s">
        <v>285</v>
      </c>
    </row>
    <row r="62" spans="1:14" ht="10.5">
      <c r="A62" s="23">
        <v>56</v>
      </c>
      <c r="B62" s="6" t="s">
        <v>106</v>
      </c>
      <c r="C62" s="26" t="s">
        <v>232</v>
      </c>
      <c r="D62" s="29">
        <v>0</v>
      </c>
      <c r="F62" s="22">
        <f>ROUND(SUMIF(Определители!I6:I15,"=7",'Базовые цены с учетом расхода'!N6:N15),2)</f>
        <v>0</v>
      </c>
      <c r="G62" s="22"/>
      <c r="H62" s="22"/>
      <c r="I62" s="22"/>
      <c r="J62" s="31"/>
      <c r="K62" s="31"/>
      <c r="L62" s="22"/>
      <c r="N62" s="26" t="s">
        <v>286</v>
      </c>
    </row>
    <row r="63" spans="1:14" ht="10.5">
      <c r="A63" s="23">
        <v>57</v>
      </c>
      <c r="B63" s="6" t="s">
        <v>86</v>
      </c>
      <c r="C63" s="26" t="s">
        <v>232</v>
      </c>
      <c r="D63" s="29">
        <v>0</v>
      </c>
      <c r="F63" s="22">
        <f>ROUND(SUMIF(Определители!I6:I15,"=7",'Базовые цены с учетом расхода'!O6:O15),2)</f>
        <v>0</v>
      </c>
      <c r="G63" s="22"/>
      <c r="H63" s="22"/>
      <c r="I63" s="22"/>
      <c r="J63" s="31"/>
      <c r="K63" s="31"/>
      <c r="L63" s="22"/>
      <c r="N63" s="26" t="s">
        <v>287</v>
      </c>
    </row>
    <row r="64" spans="1:14" ht="10.5">
      <c r="A64" s="23">
        <v>58</v>
      </c>
      <c r="B64" s="6" t="s">
        <v>107</v>
      </c>
      <c r="C64" s="26" t="s">
        <v>239</v>
      </c>
      <c r="D64" s="29">
        <v>0</v>
      </c>
      <c r="F64" s="22">
        <f>ROUND((F58+F62+F63),2)</f>
        <v>0</v>
      </c>
      <c r="G64" s="22"/>
      <c r="H64" s="22"/>
      <c r="I64" s="22"/>
      <c r="J64" s="31"/>
      <c r="K64" s="31"/>
      <c r="L64" s="22"/>
      <c r="N64" s="26" t="s">
        <v>288</v>
      </c>
    </row>
    <row r="65" spans="1:14" ht="10.5">
      <c r="A65" s="23">
        <v>59</v>
      </c>
      <c r="B65" s="6" t="s">
        <v>108</v>
      </c>
      <c r="C65" s="26" t="s">
        <v>232</v>
      </c>
      <c r="D65" s="29">
        <v>0</v>
      </c>
      <c r="F65" s="22">
        <f>ROUND(SUMIF(Определители!I6:I15,"=9",'Базовые цены с учетом расхода'!B6:B15),2)</f>
        <v>0</v>
      </c>
      <c r="G65" s="22">
        <f>ROUND(SUMIF(Определители!I6:I15,"=9",'Базовые цены с учетом расхода'!C6:C15),2)</f>
        <v>0</v>
      </c>
      <c r="H65" s="22">
        <f>ROUND(SUMIF(Определители!I6:I15,"=9",'Базовые цены с учетом расхода'!D6:D15),2)</f>
        <v>0</v>
      </c>
      <c r="I65" s="22">
        <f>ROUND(SUMIF(Определители!I6:I15,"=9",'Базовые цены с учетом расхода'!E6:E15),2)</f>
        <v>0</v>
      </c>
      <c r="J65" s="31">
        <f>ROUND(SUMIF(Определители!I6:I15,"=9",'Базовые цены с учетом расхода'!I6:I15),8)</f>
        <v>0</v>
      </c>
      <c r="K65" s="31">
        <f>ROUND(SUMIF(Определители!I6:I15,"=9",'Базовые цены с учетом расхода'!K6:K15),8)</f>
        <v>0</v>
      </c>
      <c r="L65" s="22">
        <f>ROUND(SUMIF(Определители!I6:I15,"=9",'Базовые цены с учетом расхода'!F6:F15),2)</f>
        <v>0</v>
      </c>
      <c r="N65" s="26" t="s">
        <v>289</v>
      </c>
    </row>
    <row r="66" spans="1:14" ht="10.5">
      <c r="A66" s="23">
        <v>60</v>
      </c>
      <c r="B66" s="6" t="s">
        <v>106</v>
      </c>
      <c r="C66" s="26" t="s">
        <v>232</v>
      </c>
      <c r="D66" s="29">
        <v>0</v>
      </c>
      <c r="F66" s="22">
        <f>ROUND(SUMIF(Определители!I6:I15,"=9",'Базовые цены с учетом расхода'!N6:N15),2)</f>
        <v>0</v>
      </c>
      <c r="G66" s="22"/>
      <c r="H66" s="22"/>
      <c r="I66" s="22"/>
      <c r="J66" s="31"/>
      <c r="K66" s="31"/>
      <c r="L66" s="22"/>
      <c r="N66" s="26" t="s">
        <v>290</v>
      </c>
    </row>
    <row r="67" spans="1:14" ht="10.5">
      <c r="A67" s="23">
        <v>61</v>
      </c>
      <c r="B67" s="6" t="s">
        <v>86</v>
      </c>
      <c r="C67" s="26" t="s">
        <v>232</v>
      </c>
      <c r="D67" s="29">
        <v>0</v>
      </c>
      <c r="F67" s="22">
        <f>ROUND(SUMIF(Определители!I6:I15,"=9",'Базовые цены с учетом расхода'!O6:O15),2)</f>
        <v>0</v>
      </c>
      <c r="G67" s="22"/>
      <c r="H67" s="22"/>
      <c r="I67" s="22"/>
      <c r="J67" s="31"/>
      <c r="K67" s="31"/>
      <c r="L67" s="22"/>
      <c r="N67" s="26" t="s">
        <v>291</v>
      </c>
    </row>
    <row r="68" spans="1:14" ht="10.5">
      <c r="A68" s="23">
        <v>62</v>
      </c>
      <c r="B68" s="6" t="s">
        <v>109</v>
      </c>
      <c r="C68" s="26" t="s">
        <v>239</v>
      </c>
      <c r="D68" s="29">
        <v>0</v>
      </c>
      <c r="F68" s="22">
        <f>ROUND((F65+F66+F67),2)</f>
        <v>0</v>
      </c>
      <c r="G68" s="22"/>
      <c r="H68" s="22"/>
      <c r="I68" s="22"/>
      <c r="J68" s="31"/>
      <c r="K68" s="31"/>
      <c r="L68" s="22"/>
      <c r="N68" s="26" t="s">
        <v>292</v>
      </c>
    </row>
    <row r="69" spans="1:14" ht="10.5">
      <c r="A69" s="23">
        <v>63</v>
      </c>
      <c r="B69" s="6" t="s">
        <v>110</v>
      </c>
      <c r="C69" s="26" t="s">
        <v>232</v>
      </c>
      <c r="D69" s="29">
        <v>0</v>
      </c>
      <c r="F69" s="22">
        <f>ROUND(SUMIF(Определители!I6:I15,"=:",'Базовые цены с учетом расхода'!B6:B15),2)</f>
        <v>0</v>
      </c>
      <c r="G69" s="22">
        <f>ROUND(SUMIF(Определители!I6:I15,"=:",'Базовые цены с учетом расхода'!C6:C15),2)</f>
        <v>0</v>
      </c>
      <c r="H69" s="22">
        <f>ROUND(SUMIF(Определители!I6:I15,"=:",'Базовые цены с учетом расхода'!D6:D15),2)</f>
        <v>0</v>
      </c>
      <c r="I69" s="22">
        <f>ROUND(SUMIF(Определители!I6:I15,"=:",'Базовые цены с учетом расхода'!E6:E15),2)</f>
        <v>0</v>
      </c>
      <c r="J69" s="31">
        <f>ROUND(SUMIF(Определители!I6:I15,"=:",'Базовые цены с учетом расхода'!I6:I15),8)</f>
        <v>0</v>
      </c>
      <c r="K69" s="31">
        <f>ROUND(SUMIF(Определители!I6:I15,"=:",'Базовые цены с учетом расхода'!K6:K15),8)</f>
        <v>0</v>
      </c>
      <c r="L69" s="22">
        <f>ROUND(SUMIF(Определители!I6:I15,"=:",'Базовые цены с учетом расхода'!F6:F15),2)</f>
        <v>0</v>
      </c>
      <c r="N69" s="26" t="s">
        <v>293</v>
      </c>
    </row>
    <row r="70" spans="1:14" ht="10.5">
      <c r="A70" s="23">
        <v>64</v>
      </c>
      <c r="B70" s="6" t="s">
        <v>84</v>
      </c>
      <c r="C70" s="26" t="s">
        <v>232</v>
      </c>
      <c r="D70" s="29">
        <v>0</v>
      </c>
      <c r="F70" s="22">
        <f>ROUND(SUMIF(Определители!I6:I15,"=:",'Базовые цены с учетом расхода'!H6:H15),2)</f>
        <v>0</v>
      </c>
      <c r="G70" s="22"/>
      <c r="H70" s="22"/>
      <c r="I70" s="22"/>
      <c r="J70" s="31"/>
      <c r="K70" s="31"/>
      <c r="L70" s="22"/>
      <c r="N70" s="26" t="s">
        <v>294</v>
      </c>
    </row>
    <row r="71" spans="1:14" ht="10.5">
      <c r="A71" s="23">
        <v>65</v>
      </c>
      <c r="B71" s="6" t="s">
        <v>106</v>
      </c>
      <c r="C71" s="26" t="s">
        <v>232</v>
      </c>
      <c r="D71" s="29">
        <v>0</v>
      </c>
      <c r="F71" s="22">
        <f>ROUND(SUMIF(Определители!I6:I15,"=:",'Базовые цены с учетом расхода'!N6:N15),2)</f>
        <v>0</v>
      </c>
      <c r="G71" s="22"/>
      <c r="H71" s="22"/>
      <c r="I71" s="22"/>
      <c r="J71" s="31"/>
      <c r="K71" s="31"/>
      <c r="L71" s="22"/>
      <c r="N71" s="26" t="s">
        <v>295</v>
      </c>
    </row>
    <row r="72" spans="1:14" ht="10.5">
      <c r="A72" s="23">
        <v>66</v>
      </c>
      <c r="B72" s="6" t="s">
        <v>86</v>
      </c>
      <c r="C72" s="26" t="s">
        <v>232</v>
      </c>
      <c r="D72" s="29">
        <v>0</v>
      </c>
      <c r="F72" s="22">
        <f>ROUND(SUMIF(Определители!I6:I15,"=:",'Базовые цены с учетом расхода'!O6:O15),2)</f>
        <v>0</v>
      </c>
      <c r="G72" s="22"/>
      <c r="H72" s="22"/>
      <c r="I72" s="22"/>
      <c r="J72" s="31"/>
      <c r="K72" s="31"/>
      <c r="L72" s="22"/>
      <c r="N72" s="26" t="s">
        <v>296</v>
      </c>
    </row>
    <row r="73" spans="1:14" ht="10.5">
      <c r="A73" s="23">
        <v>67</v>
      </c>
      <c r="B73" s="6" t="s">
        <v>111</v>
      </c>
      <c r="C73" s="26" t="s">
        <v>239</v>
      </c>
      <c r="D73" s="29">
        <v>0</v>
      </c>
      <c r="F73" s="22">
        <f>ROUND((F69+F71+F72),2)</f>
        <v>0</v>
      </c>
      <c r="G73" s="22"/>
      <c r="H73" s="22"/>
      <c r="I73" s="22"/>
      <c r="J73" s="31"/>
      <c r="K73" s="31"/>
      <c r="L73" s="22"/>
      <c r="N73" s="26" t="s">
        <v>297</v>
      </c>
    </row>
    <row r="74" spans="1:14" ht="10.5">
      <c r="A74" s="23">
        <v>68</v>
      </c>
      <c r="B74" s="6" t="s">
        <v>112</v>
      </c>
      <c r="C74" s="26" t="s">
        <v>232</v>
      </c>
      <c r="D74" s="29">
        <v>0</v>
      </c>
      <c r="F74" s="22">
        <f>ROUND(SUMIF(Определители!I6:I15,"=8",'Базовые цены с учетом расхода'!B6:B15),2)</f>
        <v>0</v>
      </c>
      <c r="G74" s="22">
        <f>ROUND(SUMIF(Определители!I6:I15,"=8",'Базовые цены с учетом расхода'!C6:C15),2)</f>
        <v>0</v>
      </c>
      <c r="H74" s="22">
        <f>ROUND(SUMIF(Определители!I6:I15,"=8",'Базовые цены с учетом расхода'!D6:D15),2)</f>
        <v>0</v>
      </c>
      <c r="I74" s="22">
        <f>ROUND(SUMIF(Определители!I6:I15,"=8",'Базовые цены с учетом расхода'!E6:E15),2)</f>
        <v>0</v>
      </c>
      <c r="J74" s="31">
        <f>ROUND(SUMIF(Определители!I6:I15,"=8",'Базовые цены с учетом расхода'!I6:I15),8)</f>
        <v>0</v>
      </c>
      <c r="K74" s="31">
        <f>ROUND(SUMIF(Определители!I6:I15,"=8",'Базовые цены с учетом расхода'!K6:K15),8)</f>
        <v>0</v>
      </c>
      <c r="L74" s="22">
        <f>ROUND(SUMIF(Определители!I6:I15,"=8",'Базовые цены с учетом расхода'!F6:F15),2)</f>
        <v>0</v>
      </c>
      <c r="N74" s="26" t="s">
        <v>298</v>
      </c>
    </row>
    <row r="75" spans="1:14" ht="10.5">
      <c r="A75" s="23">
        <v>69</v>
      </c>
      <c r="B75" s="6" t="s">
        <v>84</v>
      </c>
      <c r="C75" s="26" t="s">
        <v>232</v>
      </c>
      <c r="D75" s="29">
        <v>0</v>
      </c>
      <c r="F75" s="22">
        <f>ROUND(SUMIF(Определители!I6:I15,"=8",'Базовые цены с учетом расхода'!H6:H15),2)</f>
        <v>0</v>
      </c>
      <c r="G75" s="22"/>
      <c r="H75" s="22"/>
      <c r="I75" s="22"/>
      <c r="J75" s="31"/>
      <c r="K75" s="31"/>
      <c r="L75" s="22"/>
      <c r="N75" s="26" t="s">
        <v>299</v>
      </c>
    </row>
    <row r="76" spans="1:14" ht="10.5">
      <c r="A76" s="23">
        <v>70</v>
      </c>
      <c r="B76" s="6" t="s">
        <v>113</v>
      </c>
      <c r="C76" s="26" t="s">
        <v>239</v>
      </c>
      <c r="D76" s="29">
        <v>0</v>
      </c>
      <c r="F76" s="22" t="e">
        <f>ROUND((F17+F27+F34+F39+F47+F52+F57+F64+F68+F73+F74),2)</f>
        <v>#NAME?</v>
      </c>
      <c r="G76" s="22">
        <f>ROUND((G17+G27+G34+G39+G47+G52+G57+G64+G68+G73+G74),2)</f>
        <v>0</v>
      </c>
      <c r="H76" s="22">
        <f>ROUND((H17+H27+H34+H39+H47+H52+H57+H64+H68+H73+H74),2)</f>
        <v>0</v>
      </c>
      <c r="I76" s="22">
        <f>ROUND((I17+I27+I34+I39+I47+I52+I57+I64+I68+I73+I74),2)</f>
        <v>0</v>
      </c>
      <c r="J76" s="31">
        <f>ROUND((J17+J27+J34+J39+J47+J52+J57+J64+J68+J73+J74),8)</f>
        <v>0</v>
      </c>
      <c r="K76" s="31">
        <f>ROUND((K17+K27+K34+K39+K47+K52+K57+K64+K68+K73+K74),8)</f>
        <v>0</v>
      </c>
      <c r="L76" s="22">
        <f>ROUND((L17+L27+L34+L39+L47+L52+L57+L64+L68+L73+L74),2)</f>
        <v>0</v>
      </c>
      <c r="N76" s="26" t="s">
        <v>300</v>
      </c>
    </row>
    <row r="77" spans="1:14" ht="10.5">
      <c r="A77" s="23">
        <v>71</v>
      </c>
      <c r="B77" s="6" t="s">
        <v>114</v>
      </c>
      <c r="C77" s="26" t="s">
        <v>239</v>
      </c>
      <c r="D77" s="29">
        <v>0</v>
      </c>
      <c r="F77" s="22">
        <f>ROUND((F23+F31+F36+F43+F49+F54+F61+F70+F75),2)</f>
        <v>0</v>
      </c>
      <c r="G77" s="22"/>
      <c r="H77" s="22"/>
      <c r="I77" s="22"/>
      <c r="J77" s="31"/>
      <c r="K77" s="31"/>
      <c r="L77" s="22"/>
      <c r="N77" s="26" t="s">
        <v>301</v>
      </c>
    </row>
    <row r="78" spans="1:14" ht="10.5">
      <c r="A78" s="23">
        <v>72</v>
      </c>
      <c r="B78" s="6" t="s">
        <v>115</v>
      </c>
      <c r="C78" s="26" t="s">
        <v>239</v>
      </c>
      <c r="D78" s="29">
        <v>0</v>
      </c>
      <c r="F78" s="22">
        <f>ROUND((F24+F32+F37+F44+F50+F55+F62+F66+F71),2)</f>
        <v>278.46</v>
      </c>
      <c r="G78" s="22"/>
      <c r="H78" s="22"/>
      <c r="I78" s="22"/>
      <c r="J78" s="31"/>
      <c r="K78" s="31"/>
      <c r="L78" s="22"/>
      <c r="N78" s="26" t="s">
        <v>302</v>
      </c>
    </row>
    <row r="79" spans="1:14" ht="10.5">
      <c r="A79" s="23">
        <v>73</v>
      </c>
      <c r="B79" s="6" t="s">
        <v>116</v>
      </c>
      <c r="C79" s="26" t="s">
        <v>239</v>
      </c>
      <c r="D79" s="29">
        <v>0</v>
      </c>
      <c r="F79" s="22">
        <f>ROUND((F25+F33+F38+F45+F51+F56+F63+F67+F72),2)</f>
        <v>186.2</v>
      </c>
      <c r="G79" s="22"/>
      <c r="H79" s="22"/>
      <c r="I79" s="22"/>
      <c r="J79" s="31"/>
      <c r="K79" s="31"/>
      <c r="L79" s="22"/>
      <c r="N79" s="26" t="s">
        <v>303</v>
      </c>
    </row>
    <row r="80" spans="1:14" ht="10.5">
      <c r="A80" s="23">
        <v>74</v>
      </c>
      <c r="B80" s="6" t="s">
        <v>117</v>
      </c>
      <c r="C80" s="26" t="s">
        <v>304</v>
      </c>
      <c r="D80" s="29">
        <v>3.45</v>
      </c>
      <c r="F80" s="22" t="e">
        <f>ROUND((F76)*D80,2)</f>
        <v>#NAME?</v>
      </c>
      <c r="G80" s="22"/>
      <c r="H80" s="22"/>
      <c r="I80" s="22"/>
      <c r="J80" s="31"/>
      <c r="K80" s="31"/>
      <c r="L80" s="22"/>
      <c r="N80" s="26" t="s">
        <v>305</v>
      </c>
    </row>
    <row r="81" spans="1:14" ht="10.5">
      <c r="A81" s="23">
        <v>75</v>
      </c>
      <c r="B81" s="6" t="s">
        <v>118</v>
      </c>
      <c r="C81" s="26" t="s">
        <v>306</v>
      </c>
      <c r="D81" s="29">
        <v>18</v>
      </c>
      <c r="F81" s="22" t="e">
        <f>ROUND((F80)*D81/100,2)</f>
        <v>#NAME?</v>
      </c>
      <c r="G81" s="22"/>
      <c r="H81" s="22"/>
      <c r="I81" s="22"/>
      <c r="J81" s="31"/>
      <c r="K81" s="31"/>
      <c r="L81" s="22"/>
      <c r="N81" s="26" t="s">
        <v>307</v>
      </c>
    </row>
    <row r="82" spans="1:14" ht="10.5">
      <c r="A82" s="23">
        <v>76</v>
      </c>
      <c r="B82" s="6" t="s">
        <v>119</v>
      </c>
      <c r="C82" s="26" t="s">
        <v>308</v>
      </c>
      <c r="D82" s="29">
        <v>0</v>
      </c>
      <c r="F82" s="22" t="e">
        <f>ROUND((F80+F81),2)</f>
        <v>#NAME?</v>
      </c>
      <c r="G82" s="22"/>
      <c r="H82" s="22"/>
      <c r="I82" s="22"/>
      <c r="J82" s="31"/>
      <c r="K82" s="31"/>
      <c r="L82" s="22"/>
      <c r="N82" s="26" t="s">
        <v>309</v>
      </c>
    </row>
    <row r="83" spans="1:14" ht="10.5">
      <c r="A83" s="23">
        <v>77</v>
      </c>
      <c r="B83" s="6" t="s">
        <v>120</v>
      </c>
      <c r="C83" s="26" t="s">
        <v>310</v>
      </c>
      <c r="D83" s="29">
        <v>0</v>
      </c>
      <c r="F83" s="22"/>
      <c r="G83" s="22"/>
      <c r="H83" s="22"/>
      <c r="I83" s="22"/>
      <c r="J83" s="31"/>
      <c r="K83" s="31"/>
      <c r="L83" s="22">
        <f>ROUND(SUM('Базовые цены с учетом расхода'!X6:X15),2)</f>
        <v>0</v>
      </c>
      <c r="N83" s="26" t="s">
        <v>311</v>
      </c>
    </row>
    <row r="84" spans="1:14" ht="10.5">
      <c r="A84" s="23">
        <v>78</v>
      </c>
      <c r="B84" s="6" t="s">
        <v>121</v>
      </c>
      <c r="C84" s="26" t="s">
        <v>310</v>
      </c>
      <c r="D84" s="29">
        <v>0</v>
      </c>
      <c r="F84" s="22">
        <f>ROUND(SUM('Базовые цены с учетом расхода'!C6:C15),2)</f>
        <v>260.83</v>
      </c>
      <c r="G84" s="22"/>
      <c r="H84" s="22"/>
      <c r="I84" s="22"/>
      <c r="J84" s="31"/>
      <c r="K84" s="31"/>
      <c r="L84" s="22"/>
      <c r="N84" s="26" t="s">
        <v>312</v>
      </c>
    </row>
    <row r="85" spans="1:14" ht="10.5">
      <c r="A85" s="23">
        <v>79</v>
      </c>
      <c r="B85" s="6" t="s">
        <v>122</v>
      </c>
      <c r="C85" s="26" t="s">
        <v>310</v>
      </c>
      <c r="D85" s="29">
        <v>0</v>
      </c>
      <c r="F85" s="22">
        <f>ROUND(SUM('Базовые цены с учетом расхода'!E6:E15),2)</f>
        <v>0.69</v>
      </c>
      <c r="G85" s="22"/>
      <c r="H85" s="22"/>
      <c r="I85" s="22"/>
      <c r="J85" s="31"/>
      <c r="K85" s="31"/>
      <c r="L85" s="22"/>
      <c r="N85" s="26" t="s">
        <v>313</v>
      </c>
    </row>
    <row r="86" spans="1:14" ht="10.5">
      <c r="A86" s="23">
        <v>80</v>
      </c>
      <c r="B86" s="6" t="s">
        <v>123</v>
      </c>
      <c r="C86" s="26" t="s">
        <v>308</v>
      </c>
      <c r="D86" s="29">
        <v>0</v>
      </c>
      <c r="F86" s="22">
        <f>ROUND((F84+F85),2)</f>
        <v>261.52</v>
      </c>
      <c r="G86" s="22"/>
      <c r="H86" s="22"/>
      <c r="I86" s="22"/>
      <c r="J86" s="31"/>
      <c r="K86" s="31"/>
      <c r="L86" s="22"/>
      <c r="N86" s="26" t="s">
        <v>314</v>
      </c>
    </row>
    <row r="87" spans="1:14" ht="10.5">
      <c r="A87" s="23">
        <v>81</v>
      </c>
      <c r="B87" s="6" t="s">
        <v>124</v>
      </c>
      <c r="C87" s="26" t="s">
        <v>310</v>
      </c>
      <c r="D87" s="29">
        <v>0</v>
      </c>
      <c r="F87" s="22"/>
      <c r="G87" s="22"/>
      <c r="H87" s="22"/>
      <c r="I87" s="22"/>
      <c r="J87" s="31" t="e">
        <f>ROUND(SUM('Базовые цены с учетом расхода'!I6:I15),8)</f>
        <v>#NAME?</v>
      </c>
      <c r="K87" s="31"/>
      <c r="L87" s="22"/>
      <c r="N87" s="26" t="s">
        <v>315</v>
      </c>
    </row>
    <row r="88" spans="1:14" ht="10.5">
      <c r="A88" s="23">
        <v>82</v>
      </c>
      <c r="B88" s="6" t="s">
        <v>125</v>
      </c>
      <c r="C88" s="26" t="s">
        <v>310</v>
      </c>
      <c r="D88" s="29">
        <v>0</v>
      </c>
      <c r="F88" s="22"/>
      <c r="G88" s="22"/>
      <c r="H88" s="22"/>
      <c r="I88" s="22"/>
      <c r="J88" s="31" t="e">
        <f>ROUND(SUM('Базовые цены с учетом расхода'!K6:K15),8)</f>
        <v>#NAME?</v>
      </c>
      <c r="K88" s="31"/>
      <c r="L88" s="22"/>
      <c r="N88" s="26" t="s">
        <v>316</v>
      </c>
    </row>
    <row r="89" spans="1:14" ht="10.5">
      <c r="A89" s="23">
        <v>83</v>
      </c>
      <c r="B89" s="6" t="s">
        <v>126</v>
      </c>
      <c r="C89" s="26" t="s">
        <v>308</v>
      </c>
      <c r="D89" s="29">
        <v>0</v>
      </c>
      <c r="F89" s="22"/>
      <c r="G89" s="22"/>
      <c r="H89" s="22"/>
      <c r="I89" s="22"/>
      <c r="J89" s="31" t="e">
        <f>ROUND((J87+J88),8)</f>
        <v>#NAME?</v>
      </c>
      <c r="K89" s="31"/>
      <c r="L89" s="22"/>
      <c r="N89" s="26" t="s">
        <v>317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2011-01-15T13:32:38Z</dcterms:created>
  <dcterms:modified xsi:type="dcterms:W3CDTF">2013-08-21T20:47:55Z</dcterms:modified>
  <cp:category/>
  <cp:version/>
  <cp:contentType/>
  <cp:contentStatus/>
</cp:coreProperties>
</file>