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 без нач" sheetId="2" r:id="rId2"/>
    <sheet name="Базовые цены за единицу" sheetId="3" r:id="rId3"/>
    <sheet name="Базовые цены с учетом расхода" sheetId="4" r:id="rId4"/>
    <sheet name="Начисления" sheetId="5" r:id="rId5"/>
    <sheet name="Определители" sheetId="6" r:id="rId6"/>
    <sheet name="Базовые концовки" sheetId="7" r:id="rId7"/>
  </sheets>
  <definedNames/>
  <calcPr fullCalcOnLoad="1"/>
</workbook>
</file>

<file path=xl/sharedStrings.xml><?xml version="1.0" encoding="utf-8"?>
<sst xmlns="http://schemas.openxmlformats.org/spreadsheetml/2006/main" count="1296" uniqueCount="335">
  <si>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</si>
  <si>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</si>
  <si>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</si>
  <si>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</si>
  <si>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</si>
  <si>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</si>
  <si>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</si>
  <si>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(Локальный сметный расчет)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</si>
  <si>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</si>
  <si>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</si>
  <si>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</si>
  <si>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</si>
  <si>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</si>
  <si>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</si>
  <si>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</si>
  <si>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Текущая стоимость: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</si>
  <si>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</si>
  <si>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</si>
  <si>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</si>
  <si>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</si>
  <si>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</si>
  <si>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</si>
  <si>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</si>
  <si>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</si>
  <si>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</si>
  <si>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</si>
  <si>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</si>
  <si>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</si>
  <si>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</si>
  <si>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Раздел 1.  Сантехнические работы</t>
  </si>
  <si>
    <t>1.</t>
  </si>
  <si>
    <t>Е65-8-2
Смена полиэтиленовых канализационных труб диаметром до 100 мм, 100 м</t>
  </si>
  <si>
    <t>sum</t>
  </si>
  <si>
    <t>IsZPR</t>
  </si>
  <si>
    <t>sum_b</t>
  </si>
  <si>
    <t>IsZPM</t>
  </si>
  <si>
    <t>Зарплата рабочих</t>
  </si>
  <si>
    <t>Эксплуатация машин</t>
  </si>
  <si>
    <t>в т.ч. зарплата машинистов</t>
  </si>
  <si>
    <t>Материалы</t>
  </si>
  <si>
    <t>в т.ч. Вспомогательные материалы от стоимости материалов</t>
  </si>
  <si>
    <t>в т.ч. С999-9950 Ненормируемые материалы от зарплаты основных рабочих</t>
  </si>
  <si>
    <t>в т.ч. Ненормированная з.п. рабочих</t>
  </si>
  <si>
    <t>в т.ч. Ненормированная стоимость эксплуатации машин</t>
  </si>
  <si>
    <t>в т.ч. Ненормированная оплата механизаторов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</si>
  <si>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</si>
  <si>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</si>
  <si>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</si>
  <si>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</si>
  <si>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</si>
  <si>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</si>
  <si>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</si>
  <si>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</si>
  <si>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</si>
  <si>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</si>
  <si>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</si>
  <si>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</si>
  <si>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</si>
  <si>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Е65-10-1
Очистка канализационной сети внутренней, 100 м</t>
  </si>
  <si>
    <t>3.</t>
  </si>
  <si>
    <t>Х600-2015
Погрузочно-разгрузочные работы при автомобильных перевозках-Изделия металлические (армокаркасы, заготовки трубные и др.), т</t>
  </si>
  <si>
    <t>4.</t>
  </si>
  <si>
    <t>С601-9010
Перевозка грузов автомобилями-самосвалами (работающими вне карьеров) на расстояние до 10 км (1-й класс груза), т</t>
  </si>
  <si>
    <t>.    ИТОГО  ПО  РАЗДЕЛУ 1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</si>
  <si>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</si>
  <si>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</si>
  <si>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</si>
  <si>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</si>
  <si>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</si>
  <si>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</si>
  <si>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</si>
  <si>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</si>
  <si>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</si>
  <si>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</si>
  <si>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</si>
  <si>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</si>
  <si>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</si>
  <si>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</si>
  <si>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</si>
  <si>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</si>
  <si>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</si>
  <si>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</si>
  <si>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</si>
  <si>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</si>
  <si>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</si>
  <si>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</si>
  <si>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</si>
  <si>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</si>
  <si>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</si>
  <si>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</si>
  <si>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.   НАКЛАДНЫЕ РАСХОДЫ - (%=103 - по стр. 1, 2)</t>
  </si>
  <si>
    <t>.   СМЕТНАЯ ПРИБЫЛЬ - (%=60 - по стр. 1, 2)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</si>
  <si>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</si>
  <si>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</si>
  <si>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</si>
  <si>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</si>
  <si>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</si>
  <si>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</si>
  <si>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</si>
  <si>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</si>
  <si>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</si>
  <si>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</si>
  <si>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</si>
  <si>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</si>
  <si>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</si>
  <si>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</si>
  <si>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РАЗДЕЛУ 1</t>
  </si>
  <si>
    <t>ВСЕГО СТОИМОСТЬ ВОЗВРАЩАЕМЫХ МАТЕРИАЛОВ -</t>
  </si>
  <si>
    <t>ВСЕГО НАКЛАДНЫЕ РАСХОДЫ</t>
  </si>
  <si>
    <t>ВСЕГО СМЕТНАЯ ПРИБЫЛЬ</t>
  </si>
  <si>
    <t>Ст-ть ненормир.(вспомогат.) материалов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</si>
  <si>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</si>
  <si>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</si>
  <si>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</si>
  <si>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</si>
  <si>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</si>
  <si>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</si>
  <si>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 коэфф. удорожания МВК прот.№5 от 10.11.2009г.</t>
  </si>
  <si>
    <t>НДС</t>
  </si>
  <si>
    <t>ВСЕГО ПО РАЗДЕЛУ 1 С НДС</t>
  </si>
  <si>
    <t>Раздел 2.  Общестроительные работы</t>
  </si>
  <si>
    <t>5.</t>
  </si>
  <si>
    <t>Е46-03-010-4
Пробивка в бетонных потолках толщиной 100 мм отверстий площадью до: 20 см2, 100 шт.</t>
  </si>
  <si>
    <t>6.</t>
  </si>
  <si>
    <t>Е46-03-017-2
Заделка отверстий, гнезд и борозд в перекрытиях железобетонных площадью до: 0,2 м2 (бетоном В15 (М200) крупностью заполнителя 10-20 мм), м3</t>
  </si>
  <si>
    <t>.    ИТОГО  ПО  РАЗДЕЛУ 2</t>
  </si>
  <si>
    <t>.   НАКЛАДНЫЕ РАСХОДЫ - (%=99)</t>
  </si>
  <si>
    <t>.   СМЕТНАЯ ПРИБЫЛЬ - (%=60)</t>
  </si>
  <si>
    <t>. ВСЕГО  ПО  РАЗДЕЛУ 2</t>
  </si>
  <si>
    <t>ВСЕГО ПО РАЗДЕЛУ 2 С НДС</t>
  </si>
  <si>
    <t>.    ИТОГО  ПО  СМЕТЕ</t>
  </si>
  <si>
    <t>.   НАКЛАДНЫЕ РАСХОДЫ - (%=99 - по стр. 5, 6)</t>
  </si>
  <si>
    <t>.   СМЕТНАЯ ПРИБЫЛЬ - (%=60 - по стр. 5, 6)</t>
  </si>
  <si>
    <t>. ВСЕГО  ПО  СМЕТЕ</t>
  </si>
  <si>
    <t>ВСЕГО ПО СМЕТЕ С НДС</t>
  </si>
  <si>
    <t>Составил:</t>
  </si>
  <si>
    <t>(должность, подпись, Ф.И.О)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</si>
  <si>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</si>
  <si>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</si>
  <si>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</si>
  <si>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</si>
  <si>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</si>
  <si>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</si>
  <si>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</si>
  <si>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</si>
  <si>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</si>
  <si>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</si>
  <si>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</si>
  <si>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</si>
  <si>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</si>
  <si>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</si>
  <si>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</si>
  <si>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</si>
  <si>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</si>
  <si>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</si>
  <si>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</si>
  <si>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</si>
  <si>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</si>
  <si>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</si>
  <si>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</si>
  <si>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</si>
  <si>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</si>
  <si>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</si>
  <si>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</si>
  <si>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</si>
  <si>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</si>
  <si>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293/09 * 293/09 * 293/09 &gt;</t>
  </si>
  <si>
    <t xml:space="preserve">          замена канализационного стояка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</si>
  <si>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</si>
  <si>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</si>
  <si>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</si>
  <si>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</si>
  <si>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</si>
  <si>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</si>
  <si>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</si>
  <si>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</si>
  <si>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</si>
  <si>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</si>
  <si>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</si>
  <si>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</si>
  <si>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</si>
  <si>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</si>
  <si>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</si>
  <si>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</si>
  <si>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</si>
  <si>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</si>
  <si>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</si>
  <si>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</si>
  <si>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</si>
  <si>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</si>
  <si>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</si>
  <si>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</si>
  <si>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</si>
  <si>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</si>
  <si>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</si>
  <si>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</si>
  <si>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</si>
  <si>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</si>
  <si>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</si>
  <si>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</si>
  <si>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</si>
  <si>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</si>
  <si>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</si>
  <si>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</si>
  <si>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</si>
  <si>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</si>
  <si>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</si>
  <si>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</si>
  <si>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</si>
  <si>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</si>
  <si>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</si>
  <si>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</si>
  <si>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</si>
  <si>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</si>
  <si>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Н47</t>
  </si>
  <si>
    <t>Н48</t>
  </si>
  <si>
    <t>Н49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</si>
  <si>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</si>
  <si>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</si>
  <si>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</si>
  <si>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</si>
  <si>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</si>
  <si>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</si>
  <si>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</si>
  <si>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</si>
  <si>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</si>
  <si>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</si>
  <si>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</si>
  <si>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2</t>
  </si>
  <si>
    <t>4</t>
  </si>
  <si>
    <t>0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</si>
  <si>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</si>
  <si>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</si>
  <si>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</si>
  <si>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</si>
  <si>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</si>
  <si>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</si>
  <si>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</si>
  <si>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</si>
  <si>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</si>
  <si>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</si>
  <si>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</si>
  <si>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</si>
  <si>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</si>
  <si>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</si>
  <si>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!</t>
  </si>
  <si>
    <t>h</t>
  </si>
  <si>
    <t>s</t>
  </si>
  <si>
    <t>k</t>
  </si>
  <si>
    <t>%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</si>
  <si>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</si>
  <si>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</si>
  <si>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</si>
  <si>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</si>
  <si>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</si>
  <si>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</si>
  <si>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</si>
  <si>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</si>
  <si>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</si>
  <si>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</si>
  <si>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</si>
  <si>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</si>
  <si>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</si>
  <si>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</si>
  <si>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</si>
  <si>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</si>
  <si>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</si>
  <si>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</si>
  <si>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</si>
  <si>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</si>
  <si>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</si>
  <si>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</si>
  <si>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</si>
  <si>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</si>
  <si>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</si>
  <si>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</si>
  <si>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</si>
  <si>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</si>
  <si>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</si>
  <si>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</si>
  <si>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</si>
  <si>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</si>
  <si>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</si>
  <si>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</si>
  <si>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</si>
  <si>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</si>
  <si>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</si>
  <si>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</si>
  <si>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</si>
  <si>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</si>
  <si>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</si>
  <si>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</si>
  <si>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</si>
  <si>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</si>
  <si>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</si>
  <si>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</si>
  <si>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</si>
  <si>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</si>
  <si>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</si>
  <si>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</si>
  <si>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</si>
  <si>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</si>
  <si>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</si>
  <si>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</si>
  <si>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</si>
  <si>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</si>
  <si>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</si>
  <si>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</si>
  <si>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</si>
  <si>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</si>
  <si>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</si>
  <si>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</si>
  <si>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</si>
  <si>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</si>
  <si>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</si>
  <si>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</si>
  <si>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</si>
  <si>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</si>
  <si>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</si>
  <si>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</si>
  <si>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</si>
  <si>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</si>
  <si>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</si>
  <si>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</si>
  <si>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</si>
  <si>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</si>
  <si>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</si>
  <si>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</si>
  <si>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</si>
  <si>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</si>
  <si>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 xml:space="preserve"> замена канализационного стояка</t>
  </si>
  <si>
    <t>Жилой дом 10 этажей.</t>
  </si>
  <si>
    <t>с коэфф. удорожания (I квартал 2011 г.)</t>
  </si>
  <si>
    <t>«______»____________________ 201__г.</t>
  </si>
  <si>
    <t>ЛОКАЛЬНАЯ СМЕТА №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</si>
</sst>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\ ###.#0"/>
    <numFmt numFmtId="166" formatCode="##0"/>
    <numFmt numFmtId="167" formatCode="#,##0.00;\-#,##0.00;"/>
    <numFmt numFmtId="168" formatCode="#,##0.00;\-#,##0.00;#,##0.00"/>
    <numFmt numFmtId="169" formatCode="#,##0.00000000;\-#,##0.00000000;#,##0.00000000"/>
    <numFmt numFmtId="170" formatCode="#,##0.00######################"/>
    <numFmt numFmtId="171" formatCode="#,##0.00_ ;\-#,##0.00\ "/>
  </numFmts>
  <fonts count="40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b/>
      <u val="single"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sz val="1"/>
      <name val="Verdana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 applyProtection="1">
      <alignment/>
      <protection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top" wrapText="1"/>
    </xf>
    <xf numFmtId="167" fontId="4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 wrapText="1"/>
    </xf>
    <xf numFmtId="164" fontId="4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left" vertical="top" wrapText="1"/>
    </xf>
    <xf numFmtId="168" fontId="0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/>
    </xf>
    <xf numFmtId="167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8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vertical="top"/>
    </xf>
    <xf numFmtId="16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167" fontId="0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center" vertical="top"/>
    </xf>
    <xf numFmtId="49" fontId="0" fillId="0" borderId="19" xfId="0" applyNumberFormat="1" applyFont="1" applyBorder="1" applyAlignment="1">
      <alignment horizontal="left" vertical="top"/>
    </xf>
    <xf numFmtId="164" fontId="0" fillId="0" borderId="0" xfId="0" applyNumberFormat="1" applyFont="1" applyAlignment="1">
      <alignment horizontal="right" vertical="top"/>
    </xf>
    <xf numFmtId="168" fontId="0" fillId="0" borderId="0" xfId="0" applyNumberFormat="1" applyFont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49" fontId="3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70" fontId="0" fillId="0" borderId="0" xfId="0" applyNumberFormat="1" applyFont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404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1" width="4.140625" style="1" customWidth="1"/>
    <col min="2" max="2" width="45.57421875" style="1" customWidth="1"/>
    <col min="3" max="3" width="11.7109375" style="1" customWidth="1"/>
    <col min="4" max="5" width="12.00390625" style="1" customWidth="1"/>
    <col min="6" max="6" width="17.7109375" style="1" customWidth="1"/>
    <col min="7" max="8" width="12.00390625" style="1" customWidth="1"/>
    <col min="9" max="9" width="9.00390625" style="1" customWidth="1"/>
    <col min="10" max="10" width="12.00390625" style="1" customWidth="1"/>
    <col min="11" max="12" width="9.140625" style="1" hidden="1" customWidth="1"/>
    <col min="13" max="13" width="9.140625" style="1" customWidth="1"/>
    <col min="14" max="14" width="9.140625" style="1" hidden="1" customWidth="1"/>
    <col min="15" max="17" width="9.140625" style="1" customWidth="1"/>
    <col min="18" max="18" width="9.140625" style="1" hidden="1" customWidth="1"/>
    <col min="19" max="16384" width="9.140625" style="1" customWidth="1"/>
  </cols>
  <sheetData>
    <row r="1" spans="1:10" ht="10.5">
      <c r="A1" s="2"/>
      <c r="D1" s="2"/>
      <c r="J1" s="3" t="s">
        <v>0</v>
      </c>
    </row>
    <row r="3" spans="1:9" ht="10.5">
      <c r="A3" s="38" t="s">
        <v>1</v>
      </c>
      <c r="B3" s="38"/>
      <c r="C3" s="38"/>
      <c r="D3" s="38"/>
      <c r="F3" s="38" t="s">
        <v>2</v>
      </c>
      <c r="G3" s="38"/>
      <c r="H3" s="38"/>
      <c r="I3" s="38"/>
    </row>
    <row r="4" spans="1:9" ht="10.5">
      <c r="A4" s="35" t="s">
        <v>3</v>
      </c>
      <c r="B4" s="35"/>
      <c r="C4" s="33" t="e">
        <f>F397</f>
        <v>#NAME?</v>
      </c>
      <c r="D4" s="5" t="s">
        <v>4</v>
      </c>
      <c r="F4" s="35" t="s">
        <v>3</v>
      </c>
      <c r="G4" s="35"/>
      <c r="H4" s="33" t="e">
        <f>F397</f>
        <v>#NAME?</v>
      </c>
      <c r="I4" s="5" t="s">
        <v>4</v>
      </c>
    </row>
    <row r="5" spans="1:9" ht="10.5">
      <c r="A5" s="37"/>
      <c r="B5" s="37"/>
      <c r="C5" s="37"/>
      <c r="D5" s="37"/>
      <c r="F5" s="37"/>
      <c r="G5" s="37"/>
      <c r="H5" s="37"/>
      <c r="I5" s="37"/>
    </row>
    <row r="6" spans="1:9" ht="10.5">
      <c r="A6" s="37"/>
      <c r="B6" s="37"/>
      <c r="C6" s="37"/>
      <c r="D6" s="37"/>
      <c r="F6" s="37"/>
      <c r="G6" s="37"/>
      <c r="H6" s="37"/>
      <c r="I6" s="37"/>
    </row>
    <row r="7" spans="1:9" ht="10.5">
      <c r="A7" s="35" t="s">
        <v>5</v>
      </c>
      <c r="B7" s="35"/>
      <c r="C7" s="35"/>
      <c r="D7" s="35"/>
      <c r="F7" s="35" t="s">
        <v>5</v>
      </c>
      <c r="G7" s="35"/>
      <c r="H7" s="35"/>
      <c r="I7" s="35"/>
    </row>
    <row r="8" spans="1:9" ht="10.5">
      <c r="A8" s="37"/>
      <c r="B8" s="37"/>
      <c r="C8" s="37"/>
      <c r="D8" s="37"/>
      <c r="F8" s="37"/>
      <c r="G8" s="37"/>
      <c r="H8" s="37"/>
      <c r="I8" s="37"/>
    </row>
    <row r="9" spans="1:9" ht="10.5">
      <c r="A9" s="45" t="s">
        <v>333</v>
      </c>
      <c r="B9" s="35"/>
      <c r="C9" s="35"/>
      <c r="D9" s="35"/>
      <c r="F9" s="45" t="s">
        <v>333</v>
      </c>
      <c r="G9" s="35"/>
      <c r="H9" s="35"/>
      <c r="I9" s="35"/>
    </row>
    <row r="12" spans="2:3" ht="10.5">
      <c r="B12" s="6" t="s">
        <v>6</v>
      </c>
      <c r="C12" s="34" t="s">
        <v>331</v>
      </c>
    </row>
    <row r="13" spans="1:10" ht="10.5">
      <c r="A13" s="46" t="s">
        <v>334</v>
      </c>
      <c r="B13" s="46"/>
      <c r="C13" s="46"/>
      <c r="D13" s="46"/>
      <c r="E13" s="46"/>
      <c r="F13" s="46"/>
      <c r="G13" s="46"/>
      <c r="H13" s="46"/>
      <c r="I13" s="46"/>
      <c r="J13" s="46"/>
    </row>
    <row r="14" spans="1:10" ht="10.5">
      <c r="A14" s="47" t="s">
        <v>7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10.5">
      <c r="A15" s="48" t="s">
        <v>330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2:3" ht="10.5">
      <c r="B16" s="6" t="s">
        <v>8</v>
      </c>
      <c r="C16" s="7" t="s">
        <v>9</v>
      </c>
    </row>
    <row r="17" spans="7:10" ht="10.5">
      <c r="G17" s="6" t="s">
        <v>10</v>
      </c>
      <c r="H17" s="36" t="e">
        <f>TEXT((F384)/1000,"# ##0"&amp;GetSeparator()&amp;"000")</f>
        <v>#NAME?</v>
      </c>
      <c r="I17" s="36"/>
      <c r="J17" s="9" t="s">
        <v>11</v>
      </c>
    </row>
    <row r="18" spans="7:10" ht="10.5">
      <c r="G18" s="6" t="s">
        <v>12</v>
      </c>
      <c r="H18" s="36" t="e">
        <f>TEXT((J394)/1000,"# ##0"&amp;GetSeparator()&amp;"000")</f>
        <v>#NAME?</v>
      </c>
      <c r="I18" s="36"/>
      <c r="J18" s="9" t="s">
        <v>13</v>
      </c>
    </row>
    <row r="19" spans="7:10" ht="10.5">
      <c r="G19" s="6" t="s">
        <v>14</v>
      </c>
      <c r="H19" s="36" t="e">
        <f>TEXT((F391)/1000,"# ##0"&amp;GetSeparator()&amp;"000")</f>
        <v>#NAME?</v>
      </c>
      <c r="I19" s="36"/>
      <c r="J19" s="9" t="s">
        <v>11</v>
      </c>
    </row>
    <row r="20" spans="7:10" ht="10.5">
      <c r="G20" s="6" t="s">
        <v>15</v>
      </c>
      <c r="H20" s="36" t="e">
        <f>TEXT((F397)/1000,"# ##0"&amp;GetSeparator()&amp;"000")</f>
        <v>#NAME?</v>
      </c>
      <c r="I20" s="36"/>
      <c r="J20" s="9" t="s">
        <v>11</v>
      </c>
    </row>
    <row r="21" spans="1:10" ht="10.5">
      <c r="A21" s="49" t="s">
        <v>16</v>
      </c>
      <c r="B21" s="49"/>
      <c r="C21" s="49"/>
      <c r="D21" s="49"/>
      <c r="E21" s="49"/>
      <c r="F21" s="49"/>
      <c r="G21" s="49"/>
      <c r="H21" s="49"/>
      <c r="I21" s="49"/>
      <c r="J21" s="49"/>
    </row>
    <row r="22" ht="4.5" customHeight="1"/>
    <row r="23" spans="1:10" ht="33" customHeight="1">
      <c r="A23" s="39" t="s">
        <v>17</v>
      </c>
      <c r="B23" s="39" t="s">
        <v>18</v>
      </c>
      <c r="C23" s="39" t="s">
        <v>19</v>
      </c>
      <c r="D23" s="42" t="s">
        <v>20</v>
      </c>
      <c r="E23" s="43"/>
      <c r="F23" s="42" t="s">
        <v>21</v>
      </c>
      <c r="G23" s="44"/>
      <c r="H23" s="43"/>
      <c r="I23" s="42" t="s">
        <v>22</v>
      </c>
      <c r="J23" s="43"/>
    </row>
    <row r="24" spans="1:10" ht="10.5" customHeight="1">
      <c r="A24" s="40"/>
      <c r="B24" s="40"/>
      <c r="C24" s="40"/>
      <c r="D24" s="10" t="s">
        <v>23</v>
      </c>
      <c r="E24" s="10" t="s">
        <v>24</v>
      </c>
      <c r="F24" s="39" t="s">
        <v>23</v>
      </c>
      <c r="G24" s="39" t="s">
        <v>25</v>
      </c>
      <c r="H24" s="10" t="s">
        <v>24</v>
      </c>
      <c r="I24" s="42" t="s">
        <v>26</v>
      </c>
      <c r="J24" s="43"/>
    </row>
    <row r="25" spans="1:10" ht="21.75" customHeight="1">
      <c r="A25" s="41"/>
      <c r="B25" s="41"/>
      <c r="C25" s="41"/>
      <c r="D25" s="10" t="s">
        <v>25</v>
      </c>
      <c r="E25" s="10" t="s">
        <v>27</v>
      </c>
      <c r="F25" s="41"/>
      <c r="G25" s="41"/>
      <c r="H25" s="10" t="s">
        <v>27</v>
      </c>
      <c r="I25" s="10" t="s">
        <v>28</v>
      </c>
      <c r="J25" s="10" t="s">
        <v>23</v>
      </c>
    </row>
    <row r="26" spans="1:10" ht="10.5">
      <c r="A26" s="11">
        <v>1</v>
      </c>
      <c r="B26" s="11">
        <v>2</v>
      </c>
      <c r="C26" s="11">
        <v>3</v>
      </c>
      <c r="D26" s="11">
        <v>4</v>
      </c>
      <c r="E26" s="11">
        <v>5</v>
      </c>
      <c r="F26" s="11">
        <v>6</v>
      </c>
      <c r="G26" s="11">
        <v>7</v>
      </c>
      <c r="H26" s="11">
        <v>8</v>
      </c>
      <c r="I26" s="11">
        <v>9</v>
      </c>
      <c r="J26" s="11">
        <v>10</v>
      </c>
    </row>
    <row r="28" spans="2:10" ht="10.5">
      <c r="B28" s="50" t="s">
        <v>29</v>
      </c>
      <c r="C28" s="50"/>
      <c r="D28" s="50"/>
      <c r="E28" s="50"/>
      <c r="F28" s="50"/>
      <c r="G28" s="50"/>
      <c r="H28" s="50"/>
      <c r="I28" s="50"/>
      <c r="J28" s="50"/>
    </row>
    <row r="29" spans="2:10" ht="10.5">
      <c r="B29" s="50"/>
      <c r="C29" s="50"/>
      <c r="D29" s="50"/>
      <c r="E29" s="50"/>
      <c r="F29" s="50"/>
      <c r="G29" s="50"/>
      <c r="H29" s="50"/>
      <c r="I29" s="50"/>
      <c r="J29" s="50"/>
    </row>
    <row r="30" spans="1:14" ht="10.5">
      <c r="A30" s="35" t="s">
        <v>30</v>
      </c>
      <c r="B30" s="38" t="s">
        <v>31</v>
      </c>
      <c r="C30" s="37">
        <v>0.3</v>
      </c>
      <c r="D30" s="12">
        <f>'Базовые цены за единицу'!B9</f>
        <v>6519.87</v>
      </c>
      <c r="E30" s="12">
        <f>'Базовые цены за единицу'!D9</f>
        <v>23.6</v>
      </c>
      <c r="F30" s="51">
        <f>'Базовые цены с учетом расхода'!B9</f>
        <v>1955.96</v>
      </c>
      <c r="G30" s="51">
        <f>'Базовые цены с учетом расхода'!C9</f>
        <v>232.87</v>
      </c>
      <c r="H30" s="12">
        <f>'Базовые цены с учетом расхода'!D9</f>
        <v>7.08</v>
      </c>
      <c r="I30" s="14">
        <v>61.9</v>
      </c>
      <c r="J30" s="14" t="e">
        <f>'Базовые цены с учетом расхода'!I9</f>
        <v>#NAME?</v>
      </c>
      <c r="K30" s="1" t="s">
        <v>32</v>
      </c>
      <c r="L30" s="1" t="s">
        <v>33</v>
      </c>
      <c r="N30" s="51">
        <f>'Базовые цены с учетом расхода'!F9</f>
        <v>1716.01</v>
      </c>
    </row>
    <row r="31" spans="1:14" ht="33" customHeight="1">
      <c r="A31" s="37"/>
      <c r="B31" s="38"/>
      <c r="C31" s="37"/>
      <c r="D31" s="13">
        <f>'Базовые цены за единицу'!C9</f>
        <v>776.23</v>
      </c>
      <c r="E31" s="13">
        <f>'Базовые цены за единицу'!E9</f>
        <v>2.16</v>
      </c>
      <c r="F31" s="51"/>
      <c r="G31" s="51"/>
      <c r="H31" s="13">
        <f>'Базовые цены с учетом расхода'!E9</f>
        <v>0.65</v>
      </c>
      <c r="I31" s="1">
        <v>0.2</v>
      </c>
      <c r="J31" s="1" t="e">
        <f>'Базовые цены с учетом расхода'!K9</f>
        <v>#NAME?</v>
      </c>
      <c r="K31" s="1" t="s">
        <v>34</v>
      </c>
      <c r="L31" s="1" t="s">
        <v>35</v>
      </c>
      <c r="N31" s="51"/>
    </row>
    <row r="32" spans="2:6" ht="10.5" hidden="1">
      <c r="B32" s="15" t="s">
        <v>36</v>
      </c>
      <c r="F32" s="1">
        <v>232.87</v>
      </c>
    </row>
    <row r="33" spans="2:6" ht="10.5" hidden="1">
      <c r="B33" s="15" t="s">
        <v>37</v>
      </c>
      <c r="F33" s="1">
        <v>7.08</v>
      </c>
    </row>
    <row r="34" spans="2:6" ht="10.5" hidden="1">
      <c r="B34" s="15" t="s">
        <v>38</v>
      </c>
      <c r="F34" s="1">
        <v>0.65</v>
      </c>
    </row>
    <row r="35" spans="2:6" ht="10.5" hidden="1">
      <c r="B35" s="15" t="s">
        <v>39</v>
      </c>
      <c r="F35" s="1">
        <v>1716.01</v>
      </c>
    </row>
    <row r="36" ht="21" hidden="1">
      <c r="B36" s="15" t="s">
        <v>40</v>
      </c>
    </row>
    <row r="37" ht="21" hidden="1">
      <c r="B37" s="15" t="s">
        <v>41</v>
      </c>
    </row>
    <row r="38" ht="10.5" hidden="1">
      <c r="B38" s="15" t="s">
        <v>42</v>
      </c>
    </row>
    <row r="39" ht="21" hidden="1">
      <c r="B39" s="15" t="s">
        <v>43</v>
      </c>
    </row>
    <row r="40" ht="10.5" hidden="1">
      <c r="B40" s="15" t="s">
        <v>44</v>
      </c>
    </row>
    <row r="41" spans="2:12" ht="10.5" hidden="1">
      <c r="B41" s="15" t="s">
        <v>45</v>
      </c>
      <c r="C41" s="1">
        <v>103</v>
      </c>
      <c r="F41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240.53</v>
      </c>
      <c r="L41" s="4" t="s">
        <v>46</v>
      </c>
    </row>
    <row r="42" spans="2:12" ht="10.5" hidden="1">
      <c r="B42" s="15" t="s">
        <v>47</v>
      </c>
      <c r="C42" s="1">
        <v>103</v>
      </c>
      <c r="F42" s="16">
        <f>IF('Базовые цены с учетом расхода'!P9&gt;0,'Базовые цены с учетом расхода'!P9,IF('Базовые цены с учетом расхода'!P9&lt;0,'Базовые цены с учетом расхода'!P9,""))</f>
        <v>239.86</v>
      </c>
      <c r="L42" s="4" t="s">
        <v>48</v>
      </c>
    </row>
    <row r="43" spans="2:12" ht="10.5" hidden="1">
      <c r="B43" s="15" t="s">
        <v>49</v>
      </c>
      <c r="C43" s="1">
        <v>103</v>
      </c>
      <c r="F43" s="16">
        <f>IF('Базовые цены с учетом расхода'!Q9&gt;0,'Базовые цены с учетом расхода'!Q9,IF('Базовые цены с учетом расхода'!Q9&lt;0,'Базовые цены с учетом расхода'!Q9,""))</f>
        <v>0.67</v>
      </c>
      <c r="L43" s="4" t="s">
        <v>50</v>
      </c>
    </row>
    <row r="44" spans="2:12" ht="10.5" hidden="1">
      <c r="B44" s="15" t="s">
        <v>51</v>
      </c>
      <c r="C44" s="1">
        <v>60</v>
      </c>
      <c r="F44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140.11</v>
      </c>
      <c r="L44" s="4" t="s">
        <v>52</v>
      </c>
    </row>
    <row r="45" spans="2:12" ht="10.5" hidden="1">
      <c r="B45" s="15" t="s">
        <v>53</v>
      </c>
      <c r="C45" s="1">
        <v>60</v>
      </c>
      <c r="F45" s="16">
        <f>IF('Базовые цены с учетом расхода'!R9&gt;0,'Базовые цены с учетом расхода'!R9,IF('Базовые цены с учетом расхода'!R9&lt;0,'Базовые цены с учетом расхода'!R9,""))</f>
        <v>139.72</v>
      </c>
      <c r="L45" s="4" t="s">
        <v>54</v>
      </c>
    </row>
    <row r="46" spans="2:12" ht="10.5" hidden="1">
      <c r="B46" s="15" t="s">
        <v>55</v>
      </c>
      <c r="C46" s="1">
        <v>60</v>
      </c>
      <c r="F46" s="16">
        <f>IF('Базовые цены с учетом расхода'!S9&gt;0,'Базовые цены с учетом расхода'!S9,IF('Базовые цены с учетом расхода'!S9&lt;0,'Базовые цены с учетом расхода'!S9,""))</f>
        <v>0.39</v>
      </c>
      <c r="L46" s="4" t="s">
        <v>56</v>
      </c>
    </row>
    <row r="47" spans="1:10" ht="10.5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4" ht="10.5">
      <c r="A48" s="35" t="s">
        <v>57</v>
      </c>
      <c r="B48" s="38" t="s">
        <v>58</v>
      </c>
      <c r="C48" s="37">
        <v>0.3</v>
      </c>
      <c r="D48" s="12">
        <f>'Базовые цены за единицу'!B10</f>
        <v>507.67</v>
      </c>
      <c r="E48" s="12">
        <f>'Базовые цены за единицу'!D10</f>
        <v>0.96</v>
      </c>
      <c r="F48" s="51">
        <f>'Базовые цены с учетом расхода'!B10</f>
        <v>152.3</v>
      </c>
      <c r="G48" s="51">
        <f>'Базовые цены с учетом расхода'!C10</f>
        <v>99.69</v>
      </c>
      <c r="H48" s="12">
        <f>'Базовые цены с учетом расхода'!D10</f>
        <v>0.29</v>
      </c>
      <c r="I48" s="14">
        <v>32.2</v>
      </c>
      <c r="J48" s="14" t="e">
        <f>'Базовые цены с учетом расхода'!I10</f>
        <v>#NAME?</v>
      </c>
      <c r="K48" s="1" t="s">
        <v>32</v>
      </c>
      <c r="L48" s="1" t="s">
        <v>33</v>
      </c>
      <c r="N48" s="51">
        <f>'Базовые цены с учетом расхода'!F10</f>
        <v>52.32</v>
      </c>
    </row>
    <row r="49" spans="1:14" ht="21.75" customHeight="1">
      <c r="A49" s="37"/>
      <c r="B49" s="38"/>
      <c r="C49" s="37"/>
      <c r="D49" s="13">
        <f>'Базовые цены за единицу'!C10</f>
        <v>332.3</v>
      </c>
      <c r="E49" s="13">
        <f>'Базовые цены за единицу'!E10</f>
        <v>0</v>
      </c>
      <c r="F49" s="51"/>
      <c r="G49" s="51"/>
      <c r="H49" s="13">
        <f>'Базовые цены с учетом расхода'!E10</f>
        <v>0</v>
      </c>
      <c r="J49" s="1" t="e">
        <f>'Базовые цены с учетом расхода'!K10</f>
        <v>#NAME?</v>
      </c>
      <c r="K49" s="1" t="s">
        <v>34</v>
      </c>
      <c r="L49" s="1" t="s">
        <v>35</v>
      </c>
      <c r="N49" s="51"/>
    </row>
    <row r="50" spans="2:6" ht="10.5" hidden="1">
      <c r="B50" s="15" t="s">
        <v>36</v>
      </c>
      <c r="F50" s="1">
        <v>99.69</v>
      </c>
    </row>
    <row r="51" spans="2:6" ht="10.5" hidden="1">
      <c r="B51" s="15" t="s">
        <v>37</v>
      </c>
      <c r="F51" s="1">
        <v>0.29</v>
      </c>
    </row>
    <row r="52" ht="10.5" hidden="1">
      <c r="B52" s="15" t="s">
        <v>38</v>
      </c>
    </row>
    <row r="53" spans="2:6" ht="10.5" hidden="1">
      <c r="B53" s="15" t="s">
        <v>39</v>
      </c>
      <c r="F53" s="1">
        <v>52.32</v>
      </c>
    </row>
    <row r="54" ht="21" hidden="1">
      <c r="B54" s="15" t="s">
        <v>40</v>
      </c>
    </row>
    <row r="55" ht="21" hidden="1">
      <c r="B55" s="15" t="s">
        <v>41</v>
      </c>
    </row>
    <row r="56" ht="10.5" hidden="1">
      <c r="B56" s="15" t="s">
        <v>42</v>
      </c>
    </row>
    <row r="57" ht="21" hidden="1">
      <c r="B57" s="15" t="s">
        <v>43</v>
      </c>
    </row>
    <row r="58" ht="10.5" hidden="1">
      <c r="B58" s="15" t="s">
        <v>44</v>
      </c>
    </row>
    <row r="59" spans="2:12" ht="10.5" hidden="1">
      <c r="B59" s="15" t="s">
        <v>45</v>
      </c>
      <c r="C59" s="1">
        <v>103</v>
      </c>
      <c r="F59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102.68</v>
      </c>
      <c r="L59" s="4" t="s">
        <v>46</v>
      </c>
    </row>
    <row r="60" spans="2:12" ht="10.5" hidden="1">
      <c r="B60" s="15" t="s">
        <v>47</v>
      </c>
      <c r="C60" s="1">
        <v>103</v>
      </c>
      <c r="F60" s="16">
        <f>IF('Базовые цены с учетом расхода'!P10&gt;0,'Базовые цены с учетом расхода'!P10,IF('Базовые цены с учетом расхода'!P10&lt;0,'Базовые цены с учетом расхода'!P10,""))</f>
        <v>102.68</v>
      </c>
      <c r="L60" s="4" t="s">
        <v>48</v>
      </c>
    </row>
    <row r="61" spans="2:12" ht="10.5" hidden="1">
      <c r="B61" s="15" t="s">
        <v>49</v>
      </c>
      <c r="F61" s="16">
        <f>IF('Базовые цены с учетом расхода'!Q10&gt;0,'Базовые цены с учетом расхода'!Q10,IF('Базовые цены с учетом расхода'!Q10&lt;0,'Базовые цены с учетом расхода'!Q10,""))</f>
      </c>
      <c r="L61" s="4" t="s">
        <v>50</v>
      </c>
    </row>
    <row r="62" spans="2:12" ht="10.5" hidden="1">
      <c r="B62" s="15" t="s">
        <v>51</v>
      </c>
      <c r="C62" s="1">
        <v>60</v>
      </c>
      <c r="F62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59.81</v>
      </c>
      <c r="L62" s="4" t="s">
        <v>52</v>
      </c>
    </row>
    <row r="63" spans="2:12" ht="10.5" hidden="1">
      <c r="B63" s="15" t="s">
        <v>53</v>
      </c>
      <c r="C63" s="1">
        <v>60</v>
      </c>
      <c r="F63" s="16">
        <f>IF('Базовые цены с учетом расхода'!R10&gt;0,'Базовые цены с учетом расхода'!R10,IF('Базовые цены с учетом расхода'!R10&lt;0,'Базовые цены с учетом расхода'!R10,""))</f>
        <v>59.81</v>
      </c>
      <c r="L63" s="4" t="s">
        <v>54</v>
      </c>
    </row>
    <row r="64" spans="2:12" ht="10.5" hidden="1">
      <c r="B64" s="15" t="s">
        <v>55</v>
      </c>
      <c r="F64" s="16">
        <f>IF('Базовые цены с учетом расхода'!S10&gt;0,'Базовые цены с учетом расхода'!S10,IF('Базовые цены с учетом расхода'!S10&lt;0,'Базовые цены с учетом расхода'!S10,""))</f>
      </c>
      <c r="L64" s="4" t="s">
        <v>56</v>
      </c>
    </row>
    <row r="65" spans="1:10" ht="10.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4" ht="10.5">
      <c r="A66" s="35" t="s">
        <v>59</v>
      </c>
      <c r="B66" s="38" t="s">
        <v>60</v>
      </c>
      <c r="C66" s="37">
        <v>0.075</v>
      </c>
      <c r="D66" s="12">
        <f>'Базовые цены за единицу'!B11</f>
        <v>56.6</v>
      </c>
      <c r="E66" s="12">
        <f>'Базовые цены за единицу'!D11</f>
        <v>56.6</v>
      </c>
      <c r="F66" s="51">
        <f>'Базовые цены с учетом расхода'!B11</f>
        <v>4.25</v>
      </c>
      <c r="G66" s="51">
        <f>'Базовые цены с учетом расхода'!C11</f>
        <v>0</v>
      </c>
      <c r="H66" s="12">
        <f>'Базовые цены с учетом расхода'!D11</f>
        <v>4.25</v>
      </c>
      <c r="I66" s="14"/>
      <c r="J66" s="14" t="e">
        <f>'Базовые цены с учетом расхода'!I11</f>
        <v>#NAME?</v>
      </c>
      <c r="K66" s="1" t="s">
        <v>32</v>
      </c>
      <c r="L66" s="1" t="s">
        <v>33</v>
      </c>
      <c r="N66" s="51">
        <f>'Базовые цены с учетом расхода'!F11</f>
        <v>0</v>
      </c>
    </row>
    <row r="67" spans="1:14" ht="43.5" customHeight="1">
      <c r="A67" s="37"/>
      <c r="B67" s="38"/>
      <c r="C67" s="37"/>
      <c r="D67" s="13">
        <f>'Базовые цены за единицу'!C11</f>
        <v>0</v>
      </c>
      <c r="E67" s="13">
        <f>'Базовые цены за единицу'!E11</f>
        <v>0</v>
      </c>
      <c r="F67" s="51"/>
      <c r="G67" s="51"/>
      <c r="H67" s="13">
        <f>'Базовые цены с учетом расхода'!E11</f>
        <v>0</v>
      </c>
      <c r="J67" s="1" t="e">
        <f>'Базовые цены с учетом расхода'!K11</f>
        <v>#NAME?</v>
      </c>
      <c r="K67" s="1" t="s">
        <v>34</v>
      </c>
      <c r="L67" s="1" t="s">
        <v>35</v>
      </c>
      <c r="N67" s="51"/>
    </row>
    <row r="68" ht="10.5" hidden="1">
      <c r="B68" s="15" t="s">
        <v>36</v>
      </c>
    </row>
    <row r="69" spans="2:6" ht="10.5" hidden="1">
      <c r="B69" s="15" t="s">
        <v>37</v>
      </c>
      <c r="F69" s="1">
        <v>4.25</v>
      </c>
    </row>
    <row r="70" ht="10.5" hidden="1">
      <c r="B70" s="15" t="s">
        <v>38</v>
      </c>
    </row>
    <row r="71" ht="10.5" hidden="1">
      <c r="B71" s="15" t="s">
        <v>39</v>
      </c>
    </row>
    <row r="72" ht="21" hidden="1">
      <c r="B72" s="15" t="s">
        <v>40</v>
      </c>
    </row>
    <row r="73" ht="21" hidden="1">
      <c r="B73" s="15" t="s">
        <v>41</v>
      </c>
    </row>
    <row r="74" ht="10.5" hidden="1">
      <c r="B74" s="15" t="s">
        <v>42</v>
      </c>
    </row>
    <row r="75" ht="21" hidden="1">
      <c r="B75" s="15" t="s">
        <v>43</v>
      </c>
    </row>
    <row r="76" ht="10.5" hidden="1">
      <c r="B76" s="15" t="s">
        <v>44</v>
      </c>
    </row>
    <row r="77" spans="2:12" ht="10.5" hidden="1">
      <c r="B77" s="15" t="s">
        <v>45</v>
      </c>
      <c r="F77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L77" s="4" t="s">
        <v>46</v>
      </c>
    </row>
    <row r="78" spans="2:12" ht="10.5" hidden="1">
      <c r="B78" s="15" t="s">
        <v>47</v>
      </c>
      <c r="F78" s="16">
        <f>IF('Базовые цены с учетом расхода'!P11&gt;0,'Базовые цены с учетом расхода'!P11,IF('Базовые цены с учетом расхода'!P11&lt;0,'Базовые цены с учетом расхода'!P11,""))</f>
      </c>
      <c r="L78" s="4" t="s">
        <v>48</v>
      </c>
    </row>
    <row r="79" spans="2:12" ht="10.5" hidden="1">
      <c r="B79" s="15" t="s">
        <v>49</v>
      </c>
      <c r="F79" s="16">
        <f>IF('Базовые цены с учетом расхода'!Q11&gt;0,'Базовые цены с учетом расхода'!Q11,IF('Базовые цены с учетом расхода'!Q11&lt;0,'Базовые цены с учетом расхода'!Q11,""))</f>
      </c>
      <c r="L79" s="4" t="s">
        <v>50</v>
      </c>
    </row>
    <row r="80" spans="2:12" ht="10.5" hidden="1">
      <c r="B80" s="15" t="s">
        <v>51</v>
      </c>
      <c r="F80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L80" s="4" t="s">
        <v>52</v>
      </c>
    </row>
    <row r="81" spans="2:12" ht="10.5" hidden="1">
      <c r="B81" s="15" t="s">
        <v>53</v>
      </c>
      <c r="F81" s="16">
        <f>IF('Базовые цены с учетом расхода'!R11&gt;0,'Базовые цены с учетом расхода'!R11,IF('Базовые цены с учетом расхода'!R11&lt;0,'Базовые цены с учетом расхода'!R11,""))</f>
      </c>
      <c r="L81" s="4" t="s">
        <v>54</v>
      </c>
    </row>
    <row r="82" spans="2:12" ht="10.5" hidden="1">
      <c r="B82" s="15" t="s">
        <v>55</v>
      </c>
      <c r="F82" s="16">
        <f>IF('Базовые цены с учетом расхода'!S11&gt;0,'Базовые цены с учетом расхода'!S11,IF('Базовые цены с учетом расхода'!S11&lt;0,'Базовые цены с учетом расхода'!S11,""))</f>
      </c>
      <c r="L82" s="4" t="s">
        <v>56</v>
      </c>
    </row>
    <row r="83" spans="1:10" ht="10.5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4" ht="10.5">
      <c r="A84" s="35" t="s">
        <v>61</v>
      </c>
      <c r="B84" s="38" t="s">
        <v>62</v>
      </c>
      <c r="C84" s="37">
        <v>0.075</v>
      </c>
      <c r="D84" s="12">
        <f>'Базовые цены за единицу'!B12</f>
        <v>17.99</v>
      </c>
      <c r="E84" s="12">
        <f>'Базовые цены за единицу'!D12</f>
        <v>0</v>
      </c>
      <c r="F84" s="51">
        <f>'Базовые цены с учетом расхода'!B12</f>
        <v>1.35</v>
      </c>
      <c r="G84" s="51">
        <f>'Базовые цены с учетом расхода'!C12</f>
        <v>0</v>
      </c>
      <c r="H84" s="12">
        <f>'Базовые цены с учетом расхода'!D12</f>
        <v>0</v>
      </c>
      <c r="I84" s="14"/>
      <c r="J84" s="14" t="e">
        <f>'Базовые цены с учетом расхода'!I12</f>
        <v>#NAME?</v>
      </c>
      <c r="K84" s="1" t="s">
        <v>32</v>
      </c>
      <c r="L84" s="1" t="s">
        <v>33</v>
      </c>
      <c r="N84" s="51">
        <f>'Базовые цены с учетом расхода'!F12</f>
        <v>1.35</v>
      </c>
    </row>
    <row r="85" spans="1:14" ht="43.5" customHeight="1">
      <c r="A85" s="37"/>
      <c r="B85" s="38"/>
      <c r="C85" s="37"/>
      <c r="D85" s="13">
        <f>'Базовые цены за единицу'!C12</f>
        <v>0</v>
      </c>
      <c r="E85" s="13">
        <f>'Базовые цены за единицу'!E12</f>
        <v>0</v>
      </c>
      <c r="F85" s="51"/>
      <c r="G85" s="51"/>
      <c r="H85" s="13">
        <f>'Базовые цены с учетом расхода'!E12</f>
        <v>0</v>
      </c>
      <c r="J85" s="1" t="e">
        <f>'Базовые цены с учетом расхода'!K12</f>
        <v>#NAME?</v>
      </c>
      <c r="K85" s="1" t="s">
        <v>34</v>
      </c>
      <c r="L85" s="1" t="s">
        <v>35</v>
      </c>
      <c r="N85" s="51"/>
    </row>
    <row r="86" ht="10.5" hidden="1">
      <c r="B86" s="15" t="s">
        <v>36</v>
      </c>
    </row>
    <row r="87" ht="10.5" hidden="1">
      <c r="B87" s="15" t="s">
        <v>37</v>
      </c>
    </row>
    <row r="88" ht="10.5" hidden="1">
      <c r="B88" s="15" t="s">
        <v>38</v>
      </c>
    </row>
    <row r="89" spans="2:6" ht="10.5" hidden="1">
      <c r="B89" s="15" t="s">
        <v>39</v>
      </c>
      <c r="F89" s="1">
        <v>1.35</v>
      </c>
    </row>
    <row r="90" ht="21" hidden="1">
      <c r="B90" s="15" t="s">
        <v>40</v>
      </c>
    </row>
    <row r="91" ht="21" hidden="1">
      <c r="B91" s="15" t="s">
        <v>41</v>
      </c>
    </row>
    <row r="92" ht="10.5" hidden="1">
      <c r="B92" s="15" t="s">
        <v>42</v>
      </c>
    </row>
    <row r="93" ht="21" hidden="1">
      <c r="B93" s="15" t="s">
        <v>43</v>
      </c>
    </row>
    <row r="94" ht="10.5" hidden="1">
      <c r="B94" s="15" t="s">
        <v>44</v>
      </c>
    </row>
    <row r="95" spans="2:12" ht="10.5" hidden="1">
      <c r="B95" s="15" t="s">
        <v>45</v>
      </c>
      <c r="F95" s="16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95" s="4" t="s">
        <v>46</v>
      </c>
    </row>
    <row r="96" spans="2:12" ht="10.5" hidden="1">
      <c r="B96" s="15" t="s">
        <v>47</v>
      </c>
      <c r="F96" s="16">
        <f>IF('Базовые цены с учетом расхода'!P12&gt;0,'Базовые цены с учетом расхода'!P12,IF('Базовые цены с учетом расхода'!P12&lt;0,'Базовые цены с учетом расхода'!P12,""))</f>
      </c>
      <c r="L96" s="4" t="s">
        <v>48</v>
      </c>
    </row>
    <row r="97" spans="2:12" ht="10.5" hidden="1">
      <c r="B97" s="15" t="s">
        <v>49</v>
      </c>
      <c r="F97" s="16">
        <f>IF('Базовые цены с учетом расхода'!Q12&gt;0,'Базовые цены с учетом расхода'!Q12,IF('Базовые цены с учетом расхода'!Q12&lt;0,'Базовые цены с учетом расхода'!Q12,""))</f>
      </c>
      <c r="L97" s="4" t="s">
        <v>50</v>
      </c>
    </row>
    <row r="98" spans="2:12" ht="10.5" hidden="1">
      <c r="B98" s="15" t="s">
        <v>51</v>
      </c>
      <c r="F98" s="16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98" s="4" t="s">
        <v>52</v>
      </c>
    </row>
    <row r="99" spans="2:12" ht="10.5" hidden="1">
      <c r="B99" s="15" t="s">
        <v>53</v>
      </c>
      <c r="F99" s="16">
        <f>IF('Базовые цены с учетом расхода'!R12&gt;0,'Базовые цены с учетом расхода'!R12,IF('Базовые цены с учетом расхода'!R12&lt;0,'Базовые цены с учетом расхода'!R12,""))</f>
      </c>
      <c r="L99" s="4" t="s">
        <v>54</v>
      </c>
    </row>
    <row r="100" spans="2:12" ht="10.5" hidden="1">
      <c r="B100" s="15" t="s">
        <v>55</v>
      </c>
      <c r="F100" s="16">
        <f>IF('Базовые цены с учетом расхода'!S12&gt;0,'Базовые цены с учетом расхода'!S12,IF('Базовые цены с учетом расхода'!S12&lt;0,'Базовые цены с учетом расхода'!S12,""))</f>
      </c>
      <c r="L100" s="4" t="s">
        <v>56</v>
      </c>
    </row>
    <row r="101" spans="1:10" ht="10.5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2:18" ht="10.5">
      <c r="B102" s="9" t="s">
        <v>63</v>
      </c>
      <c r="E102" s="53"/>
      <c r="F102" s="52">
        <f>'Базовые концовки'!F10</f>
        <v>2113.86</v>
      </c>
      <c r="G102" s="52">
        <f>'Базовые концовки'!G10</f>
        <v>332.56</v>
      </c>
      <c r="H102" s="20">
        <f>'Базовые концовки'!H10</f>
        <v>11.62</v>
      </c>
      <c r="I102" s="37"/>
      <c r="J102" s="21" t="e">
        <f>'Базовые концовки'!J10</f>
        <v>#NAME?</v>
      </c>
      <c r="N102" s="52">
        <f>'Базовые концовки'!L10</f>
        <v>1769.68</v>
      </c>
      <c r="R102" s="52">
        <f>'Базовые концовки'!M10</f>
        <v>0</v>
      </c>
    </row>
    <row r="103" spans="5:18" ht="10.5">
      <c r="E103" s="53"/>
      <c r="F103" s="52"/>
      <c r="G103" s="52"/>
      <c r="H103" s="19">
        <f>'Базовые концовки'!I10</f>
        <v>0.65</v>
      </c>
      <c r="I103" s="37"/>
      <c r="J103" s="8" t="e">
        <f>'Базовые концовки'!K10</f>
        <v>#NAME?</v>
      </c>
      <c r="N103" s="52"/>
      <c r="R103" s="52"/>
    </row>
    <row r="104" spans="2:18" ht="10.5" hidden="1">
      <c r="B104" s="9" t="s">
        <v>64</v>
      </c>
      <c r="D104" s="18"/>
      <c r="F104" s="19">
        <f>'Базовые концовки'!F11</f>
        <v>0</v>
      </c>
      <c r="G104" s="19">
        <f>'Базовые концовки'!G11</f>
        <v>0</v>
      </c>
      <c r="H104" s="19">
        <f>'Базовые концовки'!H11</f>
        <v>0</v>
      </c>
      <c r="J104" s="8">
        <f>'Базовые концовки'!J11</f>
        <v>0</v>
      </c>
      <c r="N104" s="19">
        <f>'Базовые концовки'!L11</f>
        <v>0</v>
      </c>
      <c r="R104" s="19">
        <f>'Базовые концовки'!M11</f>
        <v>0</v>
      </c>
    </row>
    <row r="105" spans="2:18" ht="10.5" hidden="1">
      <c r="B105" s="9" t="s">
        <v>65</v>
      </c>
      <c r="D105" s="18"/>
      <c r="F105" s="19" t="e">
        <f>'Базовые концовки'!F12</f>
        <v>#NAME?</v>
      </c>
      <c r="G105" s="19"/>
      <c r="H105" s="19"/>
      <c r="J105" s="8"/>
      <c r="N105" s="19"/>
      <c r="R105" s="19"/>
    </row>
    <row r="106" spans="2:18" ht="10.5" hidden="1">
      <c r="B106" s="9" t="s">
        <v>66</v>
      </c>
      <c r="D106" s="18"/>
      <c r="F106" s="19" t="e">
        <f>'Базовые концовки'!F13</f>
        <v>#NAME?</v>
      </c>
      <c r="G106" s="19"/>
      <c r="H106" s="19"/>
      <c r="J106" s="8"/>
      <c r="N106" s="19"/>
      <c r="R106" s="19"/>
    </row>
    <row r="107" spans="2:18" ht="10.5" hidden="1">
      <c r="B107" s="9" t="s">
        <v>67</v>
      </c>
      <c r="D107" s="18"/>
      <c r="F107" s="19" t="e">
        <f>'Базовые концовки'!F14</f>
        <v>#NAME?</v>
      </c>
      <c r="G107" s="19"/>
      <c r="H107" s="19"/>
      <c r="J107" s="8"/>
      <c r="N107" s="19"/>
      <c r="R107" s="19"/>
    </row>
    <row r="108" spans="2:18" ht="10.5" hidden="1">
      <c r="B108" s="9" t="s">
        <v>68</v>
      </c>
      <c r="D108" s="18"/>
      <c r="F108" s="19" t="e">
        <f>'Базовые концовки'!F15</f>
        <v>#NAME?</v>
      </c>
      <c r="G108" s="19"/>
      <c r="H108" s="19"/>
      <c r="J108" s="8"/>
      <c r="N108" s="19"/>
      <c r="R108" s="19"/>
    </row>
    <row r="109" spans="2:18" ht="10.5" hidden="1">
      <c r="B109" s="9" t="s">
        <v>69</v>
      </c>
      <c r="D109" s="18"/>
      <c r="F109" s="19" t="e">
        <f>'Базовые концовки'!F16</f>
        <v>#NAME?</v>
      </c>
      <c r="G109" s="19"/>
      <c r="H109" s="19"/>
      <c r="J109" s="8"/>
      <c r="N109" s="19"/>
      <c r="R109" s="19"/>
    </row>
    <row r="110" spans="2:18" ht="10.5" hidden="1">
      <c r="B110" s="9" t="s">
        <v>70</v>
      </c>
      <c r="D110" s="18"/>
      <c r="F110" s="19" t="e">
        <f>'Базовые концовки'!F17</f>
        <v>#NAME?</v>
      </c>
      <c r="G110" s="19"/>
      <c r="H110" s="19"/>
      <c r="J110" s="8"/>
      <c r="N110" s="19"/>
      <c r="R110" s="19"/>
    </row>
    <row r="111" spans="2:18" ht="10.5" hidden="1">
      <c r="B111" s="9" t="s">
        <v>71</v>
      </c>
      <c r="D111" s="18"/>
      <c r="F111" s="19" t="e">
        <f>'Базовые концовки'!F18</f>
        <v>#NAME?</v>
      </c>
      <c r="G111" s="19"/>
      <c r="H111" s="19"/>
      <c r="J111" s="8"/>
      <c r="N111" s="19"/>
      <c r="R111" s="19"/>
    </row>
    <row r="112" spans="2:18" ht="10.5" hidden="1">
      <c r="B112" s="9" t="s">
        <v>72</v>
      </c>
      <c r="D112" s="18"/>
      <c r="F112" s="19" t="e">
        <f>'Базовые концовки'!F19</f>
        <v>#NAME?</v>
      </c>
      <c r="G112" s="19"/>
      <c r="H112" s="19"/>
      <c r="J112" s="8"/>
      <c r="N112" s="19"/>
      <c r="R112" s="19"/>
    </row>
    <row r="113" spans="2:18" ht="10.5" hidden="1">
      <c r="B113" s="9" t="s">
        <v>73</v>
      </c>
      <c r="D113" s="18"/>
      <c r="F113" s="19" t="e">
        <f>'Базовые концовки'!F20</f>
        <v>#NAME?</v>
      </c>
      <c r="G113" s="19"/>
      <c r="H113" s="19"/>
      <c r="J113" s="8"/>
      <c r="N113" s="19"/>
      <c r="R113" s="19"/>
    </row>
    <row r="114" spans="2:18" ht="10.5" hidden="1">
      <c r="B114" s="9" t="s">
        <v>74</v>
      </c>
      <c r="D114" s="18"/>
      <c r="F114" s="19">
        <f>'Базовые концовки'!F21</f>
        <v>0</v>
      </c>
      <c r="G114" s="19">
        <f>'Базовые концовки'!G21</f>
        <v>0</v>
      </c>
      <c r="H114" s="19">
        <f>'Базовые концовки'!H21</f>
        <v>0</v>
      </c>
      <c r="J114" s="8">
        <f>'Базовые концовки'!J21</f>
        <v>0</v>
      </c>
      <c r="N114" s="19">
        <f>'Базовые концовки'!L21</f>
        <v>0</v>
      </c>
      <c r="R114" s="19">
        <f>'Базовые концовки'!M21</f>
        <v>0</v>
      </c>
    </row>
    <row r="115" spans="2:18" ht="10.5" hidden="1">
      <c r="B115" s="9" t="s">
        <v>75</v>
      </c>
      <c r="D115" s="18"/>
      <c r="F115" s="19"/>
      <c r="G115" s="19"/>
      <c r="H115" s="19"/>
      <c r="J115" s="8"/>
      <c r="N115" s="19"/>
      <c r="R115" s="19"/>
    </row>
    <row r="116" spans="2:18" ht="10.5" hidden="1">
      <c r="B116" s="9" t="s">
        <v>76</v>
      </c>
      <c r="D116" s="18"/>
      <c r="F116" s="19"/>
      <c r="G116" s="19">
        <f>'Базовые концовки'!G23</f>
        <v>0</v>
      </c>
      <c r="H116" s="19"/>
      <c r="J116" s="8"/>
      <c r="N116" s="19"/>
      <c r="R116" s="19"/>
    </row>
    <row r="117" spans="2:18" ht="10.5" hidden="1">
      <c r="B117" s="9" t="s">
        <v>77</v>
      </c>
      <c r="D117" s="18"/>
      <c r="F117" s="19">
        <f>'Базовые концовки'!F24</f>
        <v>0</v>
      </c>
      <c r="G117" s="19"/>
      <c r="H117" s="19"/>
      <c r="J117" s="8"/>
      <c r="N117" s="19"/>
      <c r="R117" s="19"/>
    </row>
    <row r="118" spans="2:18" ht="10.5" hidden="1">
      <c r="B118" s="9" t="s">
        <v>78</v>
      </c>
      <c r="D118" s="18"/>
      <c r="F118" s="19" t="e">
        <f>'Базовые концовки'!F25</f>
        <v>#NAME?</v>
      </c>
      <c r="G118" s="19"/>
      <c r="H118" s="19"/>
      <c r="J118" s="8"/>
      <c r="N118" s="19"/>
      <c r="R118" s="19"/>
    </row>
    <row r="119" spans="2:18" ht="10.5" hidden="1">
      <c r="B119" s="9" t="s">
        <v>79</v>
      </c>
      <c r="D119" s="18"/>
      <c r="F119" s="19">
        <f>'Базовые концовки'!F26</f>
        <v>0</v>
      </c>
      <c r="G119" s="19"/>
      <c r="H119" s="19"/>
      <c r="J119" s="8"/>
      <c r="N119" s="19"/>
      <c r="R119" s="19"/>
    </row>
    <row r="120" spans="2:18" ht="10.5" hidden="1">
      <c r="B120" s="9" t="s">
        <v>80</v>
      </c>
      <c r="D120" s="18"/>
      <c r="F120" s="19">
        <f>'Базовые концовки'!F27</f>
        <v>0</v>
      </c>
      <c r="G120" s="19"/>
      <c r="H120" s="19"/>
      <c r="J120" s="8"/>
      <c r="N120" s="19"/>
      <c r="R120" s="19"/>
    </row>
    <row r="121" spans="2:18" ht="10.5" hidden="1">
      <c r="B121" s="9" t="s">
        <v>81</v>
      </c>
      <c r="D121" s="18"/>
      <c r="F121" s="19">
        <f>'Базовые концовки'!F28</f>
        <v>0</v>
      </c>
      <c r="G121" s="19"/>
      <c r="H121" s="19"/>
      <c r="J121" s="8"/>
      <c r="N121" s="19"/>
      <c r="R121" s="19"/>
    </row>
    <row r="122" spans="2:18" ht="10.5" hidden="1">
      <c r="B122" s="9" t="s">
        <v>72</v>
      </c>
      <c r="D122" s="18"/>
      <c r="F122" s="19" t="e">
        <f>'Базовые концовки'!F29</f>
        <v>#NAME?</v>
      </c>
      <c r="G122" s="19"/>
      <c r="H122" s="19"/>
      <c r="J122" s="8"/>
      <c r="N122" s="19"/>
      <c r="R122" s="19"/>
    </row>
    <row r="123" spans="2:18" ht="10.5" hidden="1">
      <c r="B123" s="9" t="s">
        <v>82</v>
      </c>
      <c r="D123" s="18"/>
      <c r="F123" s="19">
        <f>'Базовые концовки'!F30</f>
        <v>0</v>
      </c>
      <c r="G123" s="19"/>
      <c r="H123" s="19"/>
      <c r="J123" s="8"/>
      <c r="N123" s="19"/>
      <c r="R123" s="19"/>
    </row>
    <row r="124" spans="2:18" ht="10.5">
      <c r="B124" s="9" t="s">
        <v>83</v>
      </c>
      <c r="E124" s="18"/>
      <c r="F124" s="19">
        <f>'Базовые концовки'!F31</f>
        <v>5.6</v>
      </c>
      <c r="G124" s="19">
        <f>'Базовые концовки'!G31</f>
        <v>0</v>
      </c>
      <c r="H124" s="19">
        <f>'Базовые концовки'!H31</f>
        <v>4.25</v>
      </c>
      <c r="J124" s="8" t="e">
        <f>'Базовые концовки'!J31</f>
        <v>#NAME?</v>
      </c>
      <c r="N124" s="19">
        <f>'Базовые концовки'!L31</f>
        <v>1.35</v>
      </c>
      <c r="R124" s="19">
        <f>'Базовые концовки'!M31</f>
        <v>0</v>
      </c>
    </row>
    <row r="125" spans="2:18" ht="10.5" hidden="1">
      <c r="B125" s="9" t="s">
        <v>75</v>
      </c>
      <c r="D125" s="18"/>
      <c r="F125" s="19"/>
      <c r="G125" s="19"/>
      <c r="H125" s="19"/>
      <c r="J125" s="8"/>
      <c r="N125" s="19"/>
      <c r="R125" s="19"/>
    </row>
    <row r="126" spans="2:18" ht="10.5" hidden="1">
      <c r="B126" s="9" t="s">
        <v>84</v>
      </c>
      <c r="E126" s="18"/>
      <c r="F126" s="19" t="e">
        <f>'Базовые концовки'!F33</f>
        <v>#NAME?</v>
      </c>
      <c r="G126" s="19"/>
      <c r="H126" s="19"/>
      <c r="J126" s="8"/>
      <c r="N126" s="19"/>
      <c r="R126" s="19"/>
    </row>
    <row r="127" spans="2:18" ht="10.5" hidden="1">
      <c r="B127" s="9" t="s">
        <v>79</v>
      </c>
      <c r="D127" s="18"/>
      <c r="F127" s="19">
        <f>'Базовые концовки'!F34</f>
        <v>0</v>
      </c>
      <c r="G127" s="19"/>
      <c r="H127" s="19"/>
      <c r="J127" s="8"/>
      <c r="N127" s="19"/>
      <c r="R127" s="19"/>
    </row>
    <row r="128" spans="2:18" ht="10.5" hidden="1">
      <c r="B128" s="9" t="s">
        <v>80</v>
      </c>
      <c r="D128" s="18"/>
      <c r="F128" s="19">
        <f>'Базовые концовки'!F35</f>
        <v>0</v>
      </c>
      <c r="G128" s="19"/>
      <c r="H128" s="19"/>
      <c r="J128" s="8"/>
      <c r="N128" s="19"/>
      <c r="R128" s="19"/>
    </row>
    <row r="129" spans="2:18" ht="10.5" hidden="1">
      <c r="B129" s="9" t="s">
        <v>81</v>
      </c>
      <c r="D129" s="18"/>
      <c r="F129" s="19">
        <f>'Базовые концовки'!F36</f>
        <v>0</v>
      </c>
      <c r="G129" s="19"/>
      <c r="H129" s="19"/>
      <c r="J129" s="8"/>
      <c r="N129" s="19"/>
      <c r="R129" s="19"/>
    </row>
    <row r="130" spans="2:18" ht="10.5">
      <c r="B130" s="9" t="s">
        <v>85</v>
      </c>
      <c r="E130" s="18"/>
      <c r="F130" s="19">
        <f>'Базовые концовки'!F37</f>
        <v>5.6</v>
      </c>
      <c r="G130" s="19"/>
      <c r="H130" s="19"/>
      <c r="J130" s="8"/>
      <c r="N130" s="19"/>
      <c r="R130" s="19"/>
    </row>
    <row r="131" spans="2:18" ht="10.5" hidden="1">
      <c r="B131" s="9" t="s">
        <v>86</v>
      </c>
      <c r="D131" s="18"/>
      <c r="F131" s="19">
        <f>'Базовые концовки'!F38</f>
        <v>0</v>
      </c>
      <c r="G131" s="19">
        <f>'Базовые концовки'!G38</f>
        <v>0</v>
      </c>
      <c r="H131" s="19">
        <f>'Базовые концовки'!H38</f>
        <v>0</v>
      </c>
      <c r="J131" s="8">
        <f>'Базовые концовки'!J38</f>
        <v>0</v>
      </c>
      <c r="N131" s="19">
        <f>'Базовые концовки'!L38</f>
        <v>0</v>
      </c>
      <c r="R131" s="19">
        <f>'Базовые концовки'!M38</f>
        <v>0</v>
      </c>
    </row>
    <row r="132" spans="2:18" ht="10.5" hidden="1">
      <c r="B132" s="9" t="s">
        <v>79</v>
      </c>
      <c r="D132" s="18"/>
      <c r="F132" s="19">
        <f>'Базовые концовки'!F39</f>
        <v>0</v>
      </c>
      <c r="G132" s="19"/>
      <c r="H132" s="19"/>
      <c r="J132" s="8"/>
      <c r="N132" s="19"/>
      <c r="R132" s="19"/>
    </row>
    <row r="133" spans="2:18" ht="10.5" hidden="1">
      <c r="B133" s="9" t="s">
        <v>80</v>
      </c>
      <c r="D133" s="18"/>
      <c r="F133" s="19">
        <f>'Базовые концовки'!F40</f>
        <v>0</v>
      </c>
      <c r="G133" s="19"/>
      <c r="H133" s="19"/>
      <c r="J133" s="8"/>
      <c r="N133" s="19"/>
      <c r="R133" s="19"/>
    </row>
    <row r="134" spans="2:18" ht="10.5" hidden="1">
      <c r="B134" s="9" t="s">
        <v>81</v>
      </c>
      <c r="D134" s="18"/>
      <c r="F134" s="19">
        <f>'Базовые концовки'!F41</f>
        <v>0</v>
      </c>
      <c r="G134" s="19"/>
      <c r="H134" s="19"/>
      <c r="J134" s="8"/>
      <c r="N134" s="19"/>
      <c r="R134" s="19"/>
    </row>
    <row r="135" spans="2:18" ht="10.5" hidden="1">
      <c r="B135" s="9" t="s">
        <v>87</v>
      </c>
      <c r="D135" s="18"/>
      <c r="F135" s="19">
        <f>'Базовые концовки'!F42</f>
        <v>0</v>
      </c>
      <c r="G135" s="19"/>
      <c r="H135" s="19"/>
      <c r="J135" s="8"/>
      <c r="N135" s="19"/>
      <c r="R135" s="19"/>
    </row>
    <row r="136" spans="2:18" ht="10.5">
      <c r="B136" s="9" t="s">
        <v>88</v>
      </c>
      <c r="E136" s="53"/>
      <c r="F136" s="52">
        <f>'Базовые концовки'!F43</f>
        <v>2108.26</v>
      </c>
      <c r="G136" s="52">
        <f>'Базовые концовки'!G43</f>
        <v>332.56</v>
      </c>
      <c r="H136" s="20">
        <f>'Базовые концовки'!H43</f>
        <v>7.37</v>
      </c>
      <c r="I136" s="37"/>
      <c r="J136" s="21" t="e">
        <f>'Базовые концовки'!J43</f>
        <v>#NAME?</v>
      </c>
      <c r="N136" s="52">
        <f>'Базовые концовки'!L43</f>
        <v>1768.33</v>
      </c>
      <c r="R136" s="52">
        <f>'Базовые концовки'!M43</f>
        <v>0</v>
      </c>
    </row>
    <row r="137" spans="5:18" ht="10.5">
      <c r="E137" s="53"/>
      <c r="F137" s="52"/>
      <c r="G137" s="52"/>
      <c r="H137" s="19">
        <f>'Базовые концовки'!I43</f>
        <v>0.65</v>
      </c>
      <c r="I137" s="37"/>
      <c r="J137" s="8" t="e">
        <f>'Базовые концовки'!K43</f>
        <v>#NAME?</v>
      </c>
      <c r="N137" s="52"/>
      <c r="R137" s="52"/>
    </row>
    <row r="138" spans="2:18" ht="10.5" hidden="1">
      <c r="B138" s="9" t="s">
        <v>75</v>
      </c>
      <c r="D138" s="18"/>
      <c r="F138" s="19"/>
      <c r="G138" s="19"/>
      <c r="H138" s="19"/>
      <c r="J138" s="8"/>
      <c r="N138" s="19"/>
      <c r="R138" s="19"/>
    </row>
    <row r="139" spans="2:18" ht="10.5" hidden="1">
      <c r="B139" s="9" t="s">
        <v>89</v>
      </c>
      <c r="D139" s="18"/>
      <c r="F139" s="19">
        <f>'Базовые концовки'!F45</f>
        <v>0</v>
      </c>
      <c r="G139" s="19"/>
      <c r="H139" s="19"/>
      <c r="J139" s="8"/>
      <c r="N139" s="19"/>
      <c r="R139" s="19"/>
    </row>
    <row r="140" spans="2:18" ht="10.5" hidden="1">
      <c r="B140" s="9" t="s">
        <v>79</v>
      </c>
      <c r="D140" s="18"/>
      <c r="F140" s="19">
        <f>'Базовые концовки'!F46</f>
        <v>0</v>
      </c>
      <c r="G140" s="19"/>
      <c r="H140" s="19"/>
      <c r="J140" s="8"/>
      <c r="N140" s="19"/>
      <c r="R140" s="19"/>
    </row>
    <row r="141" spans="2:18" ht="10.5">
      <c r="B141" s="9" t="s">
        <v>90</v>
      </c>
      <c r="E141" s="18"/>
      <c r="F141" s="19">
        <f>'Базовые концовки'!F47</f>
        <v>343.21</v>
      </c>
      <c r="G141" s="19"/>
      <c r="H141" s="19"/>
      <c r="J141" s="8"/>
      <c r="N141" s="19"/>
      <c r="R141" s="19"/>
    </row>
    <row r="142" spans="2:18" ht="10.5">
      <c r="B142" s="9" t="s">
        <v>91</v>
      </c>
      <c r="E142" s="18"/>
      <c r="F142" s="19">
        <f>'Базовые концовки'!F48</f>
        <v>199.92</v>
      </c>
      <c r="G142" s="19"/>
      <c r="H142" s="19"/>
      <c r="J142" s="8"/>
      <c r="N142" s="19"/>
      <c r="R142" s="19"/>
    </row>
    <row r="143" spans="2:18" ht="10.5" hidden="1">
      <c r="B143" s="9" t="s">
        <v>72</v>
      </c>
      <c r="D143" s="18"/>
      <c r="F143" s="19" t="e">
        <f>'Базовые концовки'!F49</f>
        <v>#NAME?</v>
      </c>
      <c r="G143" s="19"/>
      <c r="H143" s="19"/>
      <c r="J143" s="8"/>
      <c r="N143" s="19"/>
      <c r="R143" s="19"/>
    </row>
    <row r="144" spans="2:18" ht="10.5">
      <c r="B144" s="9" t="s">
        <v>92</v>
      </c>
      <c r="E144" s="18"/>
      <c r="F144" s="19">
        <f>'Базовые концовки'!F50</f>
        <v>2651.39</v>
      </c>
      <c r="G144" s="19"/>
      <c r="H144" s="19"/>
      <c r="J144" s="8"/>
      <c r="N144" s="19"/>
      <c r="R144" s="19"/>
    </row>
    <row r="145" spans="2:18" ht="10.5" hidden="1">
      <c r="B145" s="9" t="s">
        <v>93</v>
      </c>
      <c r="D145" s="18"/>
      <c r="F145" s="19">
        <f>'Базовые концовки'!F51</f>
        <v>0</v>
      </c>
      <c r="G145" s="19">
        <f>'Базовые концовки'!G51</f>
        <v>0</v>
      </c>
      <c r="H145" s="19">
        <f>'Базовые концовки'!H51</f>
        <v>0</v>
      </c>
      <c r="J145" s="8">
        <f>'Базовые концовки'!J51</f>
        <v>0</v>
      </c>
      <c r="N145" s="19">
        <f>'Базовые концовки'!L51</f>
        <v>0</v>
      </c>
      <c r="R145" s="19">
        <f>'Базовые концовки'!M51</f>
        <v>0</v>
      </c>
    </row>
    <row r="146" spans="2:18" ht="10.5" hidden="1">
      <c r="B146" s="9" t="s">
        <v>79</v>
      </c>
      <c r="D146" s="18"/>
      <c r="F146" s="19">
        <f>'Базовые концовки'!F52</f>
        <v>0</v>
      </c>
      <c r="G146" s="19"/>
      <c r="H146" s="19"/>
      <c r="J146" s="8"/>
      <c r="N146" s="19"/>
      <c r="R146" s="19"/>
    </row>
    <row r="147" spans="2:18" ht="10.5" hidden="1">
      <c r="B147" s="9" t="s">
        <v>80</v>
      </c>
      <c r="D147" s="18"/>
      <c r="F147" s="19">
        <f>'Базовые концовки'!F53</f>
        <v>0</v>
      </c>
      <c r="G147" s="19"/>
      <c r="H147" s="19"/>
      <c r="J147" s="8"/>
      <c r="N147" s="19"/>
      <c r="R147" s="19"/>
    </row>
    <row r="148" spans="2:18" ht="10.5" hidden="1">
      <c r="B148" s="9" t="s">
        <v>81</v>
      </c>
      <c r="D148" s="18"/>
      <c r="F148" s="19">
        <f>'Базовые концовки'!F54</f>
        <v>0</v>
      </c>
      <c r="G148" s="19"/>
      <c r="H148" s="19"/>
      <c r="J148" s="8"/>
      <c r="N148" s="19"/>
      <c r="R148" s="19"/>
    </row>
    <row r="149" spans="2:18" ht="10.5" hidden="1">
      <c r="B149" s="9" t="s">
        <v>94</v>
      </c>
      <c r="D149" s="18"/>
      <c r="F149" s="19">
        <f>'Базовые концовки'!F55</f>
        <v>0</v>
      </c>
      <c r="G149" s="19"/>
      <c r="H149" s="19"/>
      <c r="J149" s="8"/>
      <c r="N149" s="19"/>
      <c r="R149" s="19"/>
    </row>
    <row r="150" spans="2:18" ht="10.5" hidden="1">
      <c r="B150" s="9" t="s">
        <v>95</v>
      </c>
      <c r="D150" s="18"/>
      <c r="F150" s="19">
        <f>'Базовые концовки'!F56</f>
        <v>0</v>
      </c>
      <c r="G150" s="19">
        <f>'Базовые концовки'!G56</f>
        <v>0</v>
      </c>
      <c r="H150" s="19">
        <f>'Базовые концовки'!H56</f>
        <v>0</v>
      </c>
      <c r="J150" s="8">
        <f>'Базовые концовки'!J56</f>
        <v>0</v>
      </c>
      <c r="N150" s="19">
        <f>'Базовые концовки'!L56</f>
        <v>0</v>
      </c>
      <c r="R150" s="19">
        <f>'Базовые концовки'!M56</f>
        <v>0</v>
      </c>
    </row>
    <row r="151" spans="2:18" ht="10.5" hidden="1">
      <c r="B151" s="9" t="s">
        <v>79</v>
      </c>
      <c r="D151" s="18"/>
      <c r="F151" s="19">
        <f>'Базовые концовки'!F57</f>
        <v>0</v>
      </c>
      <c r="G151" s="19"/>
      <c r="H151" s="19"/>
      <c r="J151" s="8"/>
      <c r="N151" s="19"/>
      <c r="R151" s="19"/>
    </row>
    <row r="152" spans="2:18" ht="10.5" hidden="1">
      <c r="B152" s="9" t="s">
        <v>80</v>
      </c>
      <c r="D152" s="18"/>
      <c r="F152" s="19">
        <f>'Базовые концовки'!F58</f>
        <v>0</v>
      </c>
      <c r="G152" s="19"/>
      <c r="H152" s="19"/>
      <c r="J152" s="8"/>
      <c r="N152" s="19"/>
      <c r="R152" s="19"/>
    </row>
    <row r="153" spans="2:18" ht="10.5" hidden="1">
      <c r="B153" s="9" t="s">
        <v>81</v>
      </c>
      <c r="D153" s="18"/>
      <c r="F153" s="19">
        <f>'Базовые концовки'!F59</f>
        <v>0</v>
      </c>
      <c r="G153" s="19"/>
      <c r="H153" s="19"/>
      <c r="J153" s="8"/>
      <c r="N153" s="19"/>
      <c r="R153" s="19"/>
    </row>
    <row r="154" spans="2:18" ht="10.5" hidden="1">
      <c r="B154" s="9" t="s">
        <v>96</v>
      </c>
      <c r="D154" s="18"/>
      <c r="F154" s="19">
        <f>'Базовые концовки'!F60</f>
        <v>0</v>
      </c>
      <c r="G154" s="19"/>
      <c r="H154" s="19"/>
      <c r="J154" s="8"/>
      <c r="N154" s="19"/>
      <c r="R154" s="19"/>
    </row>
    <row r="155" spans="2:18" ht="10.5" hidden="1">
      <c r="B155" s="9" t="s">
        <v>97</v>
      </c>
      <c r="D155" s="18"/>
      <c r="F155" s="19">
        <f>'Базовые концовки'!F61</f>
        <v>0</v>
      </c>
      <c r="G155" s="19">
        <f>'Базовые концовки'!G61</f>
        <v>0</v>
      </c>
      <c r="H155" s="19">
        <f>'Базовые концовки'!H61</f>
        <v>0</v>
      </c>
      <c r="J155" s="8">
        <f>'Базовые концовки'!J61</f>
        <v>0</v>
      </c>
      <c r="N155" s="19">
        <f>'Базовые концовки'!L61</f>
        <v>0</v>
      </c>
      <c r="R155" s="19">
        <f>'Базовые концовки'!M61</f>
        <v>0</v>
      </c>
    </row>
    <row r="156" spans="2:18" ht="10.5" hidden="1">
      <c r="B156" s="9" t="s">
        <v>75</v>
      </c>
      <c r="D156" s="18"/>
      <c r="F156" s="19"/>
      <c r="G156" s="19"/>
      <c r="H156" s="19"/>
      <c r="J156" s="8"/>
      <c r="N156" s="19"/>
      <c r="R156" s="19"/>
    </row>
    <row r="157" spans="2:18" ht="10.5" hidden="1">
      <c r="B157" s="9" t="s">
        <v>98</v>
      </c>
      <c r="D157" s="18"/>
      <c r="F157" s="19" t="e">
        <f>'Базовые концовки'!F63</f>
        <v>#NAME?</v>
      </c>
      <c r="G157" s="19"/>
      <c r="H157" s="19"/>
      <c r="J157" s="8"/>
      <c r="N157" s="19"/>
      <c r="R157" s="19"/>
    </row>
    <row r="158" spans="2:18" ht="10.5" hidden="1">
      <c r="B158" s="9" t="s">
        <v>79</v>
      </c>
      <c r="D158" s="18"/>
      <c r="F158" s="19">
        <f>'Базовые концовки'!F64</f>
        <v>0</v>
      </c>
      <c r="G158" s="19"/>
      <c r="H158" s="19"/>
      <c r="J158" s="8"/>
      <c r="N158" s="19"/>
      <c r="R158" s="19"/>
    </row>
    <row r="159" spans="2:18" ht="10.5" hidden="1">
      <c r="B159" s="9" t="s">
        <v>99</v>
      </c>
      <c r="D159" s="18"/>
      <c r="F159" s="19">
        <f>'Базовые концовки'!F65</f>
        <v>0</v>
      </c>
      <c r="G159" s="19"/>
      <c r="H159" s="19"/>
      <c r="J159" s="8"/>
      <c r="N159" s="19"/>
      <c r="R159" s="19"/>
    </row>
    <row r="160" spans="2:18" ht="10.5" hidden="1">
      <c r="B160" s="9" t="s">
        <v>81</v>
      </c>
      <c r="D160" s="18"/>
      <c r="F160" s="19">
        <f>'Базовые концовки'!F66</f>
        <v>0</v>
      </c>
      <c r="G160" s="19"/>
      <c r="H160" s="19"/>
      <c r="J160" s="8"/>
      <c r="N160" s="19"/>
      <c r="R160" s="19"/>
    </row>
    <row r="161" spans="2:18" ht="10.5" hidden="1">
      <c r="B161" s="9" t="s">
        <v>100</v>
      </c>
      <c r="D161" s="18"/>
      <c r="F161" s="19">
        <f>'Базовые концовки'!F67</f>
        <v>0</v>
      </c>
      <c r="G161" s="19"/>
      <c r="H161" s="19"/>
      <c r="J161" s="8"/>
      <c r="N161" s="19"/>
      <c r="R161" s="19"/>
    </row>
    <row r="162" spans="2:18" ht="10.5" hidden="1">
      <c r="B162" s="9" t="s">
        <v>101</v>
      </c>
      <c r="D162" s="18"/>
      <c r="F162" s="19">
        <f>'Базовые концовки'!F68</f>
        <v>0</v>
      </c>
      <c r="G162" s="19">
        <f>'Базовые концовки'!G68</f>
        <v>0</v>
      </c>
      <c r="H162" s="19">
        <f>'Базовые концовки'!H68</f>
        <v>0</v>
      </c>
      <c r="J162" s="8">
        <f>'Базовые концовки'!J68</f>
        <v>0</v>
      </c>
      <c r="N162" s="19">
        <f>'Базовые концовки'!L68</f>
        <v>0</v>
      </c>
      <c r="R162" s="19">
        <f>'Базовые концовки'!M68</f>
        <v>0</v>
      </c>
    </row>
    <row r="163" spans="2:18" ht="10.5" hidden="1">
      <c r="B163" s="9" t="s">
        <v>99</v>
      </c>
      <c r="D163" s="18"/>
      <c r="F163" s="19">
        <f>'Базовые концовки'!F69</f>
        <v>0</v>
      </c>
      <c r="G163" s="19"/>
      <c r="H163" s="19"/>
      <c r="J163" s="8"/>
      <c r="N163" s="19"/>
      <c r="R163" s="19"/>
    </row>
    <row r="164" spans="2:18" ht="10.5" hidden="1">
      <c r="B164" s="9" t="s">
        <v>81</v>
      </c>
      <c r="D164" s="18"/>
      <c r="F164" s="19">
        <f>'Базовые концовки'!F70</f>
        <v>0</v>
      </c>
      <c r="G164" s="19"/>
      <c r="H164" s="19"/>
      <c r="J164" s="8"/>
      <c r="N164" s="19"/>
      <c r="R164" s="19"/>
    </row>
    <row r="165" spans="2:18" ht="10.5" hidden="1">
      <c r="B165" s="9" t="s">
        <v>102</v>
      </c>
      <c r="D165" s="18"/>
      <c r="F165" s="19">
        <f>'Базовые концовки'!F71</f>
        <v>0</v>
      </c>
      <c r="G165" s="19"/>
      <c r="H165" s="19"/>
      <c r="J165" s="8"/>
      <c r="N165" s="19"/>
      <c r="R165" s="19"/>
    </row>
    <row r="166" spans="2:18" ht="10.5" hidden="1">
      <c r="B166" s="9" t="s">
        <v>103</v>
      </c>
      <c r="D166" s="18"/>
      <c r="F166" s="19">
        <f>'Базовые концовки'!F72</f>
        <v>0</v>
      </c>
      <c r="G166" s="19">
        <f>'Базовые концовки'!G72</f>
        <v>0</v>
      </c>
      <c r="H166" s="19">
        <f>'Базовые концовки'!H72</f>
        <v>0</v>
      </c>
      <c r="J166" s="8">
        <f>'Базовые концовки'!J72</f>
        <v>0</v>
      </c>
      <c r="N166" s="19">
        <f>'Базовые концовки'!L72</f>
        <v>0</v>
      </c>
      <c r="R166" s="19">
        <f>'Базовые концовки'!M72</f>
        <v>0</v>
      </c>
    </row>
    <row r="167" spans="2:18" ht="10.5" hidden="1">
      <c r="B167" s="9" t="s">
        <v>79</v>
      </c>
      <c r="D167" s="18"/>
      <c r="F167" s="19">
        <f>'Базовые концовки'!F73</f>
        <v>0</v>
      </c>
      <c r="G167" s="19"/>
      <c r="H167" s="19"/>
      <c r="J167" s="8"/>
      <c r="N167" s="19"/>
      <c r="R167" s="19"/>
    </row>
    <row r="168" spans="2:18" ht="10.5" hidden="1">
      <c r="B168" s="9" t="s">
        <v>99</v>
      </c>
      <c r="D168" s="18"/>
      <c r="F168" s="19">
        <f>'Базовые концовки'!F74</f>
        <v>0</v>
      </c>
      <c r="G168" s="19"/>
      <c r="H168" s="19"/>
      <c r="J168" s="8"/>
      <c r="N168" s="19"/>
      <c r="R168" s="19"/>
    </row>
    <row r="169" spans="2:18" ht="10.5" hidden="1">
      <c r="B169" s="9" t="s">
        <v>81</v>
      </c>
      <c r="D169" s="18"/>
      <c r="F169" s="19">
        <f>'Базовые концовки'!F75</f>
        <v>0</v>
      </c>
      <c r="G169" s="19"/>
      <c r="H169" s="19"/>
      <c r="J169" s="8"/>
      <c r="N169" s="19"/>
      <c r="R169" s="19"/>
    </row>
    <row r="170" spans="2:18" ht="10.5" hidden="1">
      <c r="B170" s="9" t="s">
        <v>104</v>
      </c>
      <c r="D170" s="18"/>
      <c r="F170" s="19">
        <f>'Базовые концовки'!F76</f>
        <v>0</v>
      </c>
      <c r="G170" s="19"/>
      <c r="H170" s="19"/>
      <c r="J170" s="8"/>
      <c r="N170" s="19"/>
      <c r="R170" s="19"/>
    </row>
    <row r="171" spans="2:18" ht="10.5" hidden="1">
      <c r="B171" s="9" t="s">
        <v>105</v>
      </c>
      <c r="D171" s="18"/>
      <c r="F171" s="19">
        <f>'Базовые концовки'!F77</f>
        <v>0</v>
      </c>
      <c r="G171" s="19">
        <f>'Базовые концовки'!G77</f>
        <v>0</v>
      </c>
      <c r="H171" s="19">
        <f>'Базовые концовки'!H77</f>
        <v>0</v>
      </c>
      <c r="J171" s="8">
        <f>'Базовые концовки'!J77</f>
        <v>0</v>
      </c>
      <c r="N171" s="19">
        <f>'Базовые концовки'!L77</f>
        <v>0</v>
      </c>
      <c r="R171" s="19">
        <f>'Базовые концовки'!M77</f>
        <v>0</v>
      </c>
    </row>
    <row r="172" spans="2:18" ht="10.5" hidden="1">
      <c r="B172" s="9" t="s">
        <v>79</v>
      </c>
      <c r="D172" s="18"/>
      <c r="F172" s="19">
        <f>'Базовые концовки'!F78</f>
        <v>0</v>
      </c>
      <c r="G172" s="19"/>
      <c r="H172" s="19"/>
      <c r="J172" s="8"/>
      <c r="N172" s="19"/>
      <c r="R172" s="19"/>
    </row>
    <row r="173" spans="2:18" ht="10.5">
      <c r="B173" s="9" t="s">
        <v>106</v>
      </c>
      <c r="E173" s="18"/>
      <c r="F173" s="19" t="e">
        <f>'Базовые концовки'!F79</f>
        <v>#NAME?</v>
      </c>
      <c r="G173" s="19">
        <f>'Базовые концовки'!G79</f>
        <v>0</v>
      </c>
      <c r="H173" s="19">
        <f>'Базовые концовки'!H79</f>
        <v>0</v>
      </c>
      <c r="J173" s="8">
        <f>'Базовые концовки'!J79</f>
        <v>0</v>
      </c>
      <c r="N173" s="19">
        <f>'Базовые концовки'!L79</f>
        <v>0</v>
      </c>
      <c r="R173" s="19">
        <f>'Базовые концовки'!M79</f>
        <v>0</v>
      </c>
    </row>
    <row r="174" spans="2:18" ht="10.5" hidden="1">
      <c r="B174" s="9" t="s">
        <v>107</v>
      </c>
      <c r="D174" s="18"/>
      <c r="F174" s="19">
        <f>'Базовые концовки'!F80</f>
        <v>0</v>
      </c>
      <c r="G174" s="19"/>
      <c r="H174" s="19"/>
      <c r="J174" s="8"/>
      <c r="N174" s="19"/>
      <c r="R174" s="19"/>
    </row>
    <row r="175" spans="2:18" ht="10.5">
      <c r="B175" s="9" t="s">
        <v>108</v>
      </c>
      <c r="E175" s="18"/>
      <c r="F175" s="19">
        <f>'Базовые концовки'!F81</f>
        <v>343.21</v>
      </c>
      <c r="G175" s="19"/>
      <c r="H175" s="19"/>
      <c r="J175" s="8"/>
      <c r="N175" s="19"/>
      <c r="R175" s="19"/>
    </row>
    <row r="176" spans="2:18" ht="10.5">
      <c r="B176" s="9" t="s">
        <v>109</v>
      </c>
      <c r="E176" s="18"/>
      <c r="F176" s="19">
        <f>'Базовые концовки'!F82</f>
        <v>199.92</v>
      </c>
      <c r="G176" s="19"/>
      <c r="H176" s="19"/>
      <c r="J176" s="8"/>
      <c r="N176" s="19"/>
      <c r="R176" s="19"/>
    </row>
    <row r="177" spans="2:18" ht="10.5" hidden="1">
      <c r="B177" s="9" t="s">
        <v>110</v>
      </c>
      <c r="D177" s="18"/>
      <c r="F177" s="19">
        <f>'Базовые концовки'!F83</f>
        <v>0</v>
      </c>
      <c r="G177" s="19"/>
      <c r="H177" s="19"/>
      <c r="J177" s="8"/>
      <c r="N177" s="19">
        <f>'Базовые концовки'!L83</f>
        <v>0</v>
      </c>
      <c r="R177" s="19"/>
    </row>
    <row r="178" spans="2:18" ht="10.5" hidden="1">
      <c r="B178" s="9" t="s">
        <v>111</v>
      </c>
      <c r="E178" s="18"/>
      <c r="F178" s="19">
        <f>'Базовые концовки'!F84</f>
        <v>332.56</v>
      </c>
      <c r="G178" s="19"/>
      <c r="H178" s="19"/>
      <c r="J178" s="8"/>
      <c r="N178" s="19"/>
      <c r="R178" s="19"/>
    </row>
    <row r="179" spans="2:18" ht="10.5" hidden="1">
      <c r="B179" s="9" t="s">
        <v>112</v>
      </c>
      <c r="E179" s="18"/>
      <c r="F179" s="19">
        <f>'Базовые концовки'!F85</f>
        <v>0.65</v>
      </c>
      <c r="G179" s="19"/>
      <c r="H179" s="19"/>
      <c r="J179" s="8"/>
      <c r="N179" s="19"/>
      <c r="R179" s="19"/>
    </row>
    <row r="180" spans="2:18" ht="10.5" hidden="1">
      <c r="B180" s="9" t="s">
        <v>113</v>
      </c>
      <c r="E180" s="18"/>
      <c r="F180" s="19">
        <f>'Базовые концовки'!F86</f>
        <v>333.21</v>
      </c>
      <c r="G180" s="19"/>
      <c r="H180" s="19"/>
      <c r="J180" s="8"/>
      <c r="N180" s="19"/>
      <c r="R180" s="19"/>
    </row>
    <row r="181" spans="2:18" ht="10.5" hidden="1">
      <c r="B181" s="9" t="s">
        <v>114</v>
      </c>
      <c r="E181" s="18"/>
      <c r="F181" s="19"/>
      <c r="G181" s="19"/>
      <c r="H181" s="19"/>
      <c r="J181" s="8" t="e">
        <f>'Базовые концовки'!J87</f>
        <v>#NAME?</v>
      </c>
      <c r="N181" s="19"/>
      <c r="R181" s="19"/>
    </row>
    <row r="182" spans="2:18" ht="10.5" hidden="1">
      <c r="B182" s="9" t="s">
        <v>115</v>
      </c>
      <c r="E182" s="18"/>
      <c r="F182" s="19"/>
      <c r="G182" s="19"/>
      <c r="H182" s="19"/>
      <c r="J182" s="8" t="e">
        <f>'Базовые концовки'!J88</f>
        <v>#NAME?</v>
      </c>
      <c r="N182" s="19"/>
      <c r="R182" s="19"/>
    </row>
    <row r="183" spans="2:18" ht="10.5" hidden="1">
      <c r="B183" s="9" t="s">
        <v>116</v>
      </c>
      <c r="E183" s="18"/>
      <c r="F183" s="19"/>
      <c r="G183" s="19"/>
      <c r="H183" s="19"/>
      <c r="J183" s="8" t="e">
        <f>'Базовые концовки'!J89</f>
        <v>#NAME?</v>
      </c>
      <c r="N183" s="19"/>
      <c r="R183" s="19"/>
    </row>
    <row r="184" spans="2:18" ht="10.5">
      <c r="B184" s="9" t="s">
        <v>332</v>
      </c>
      <c r="E184" s="18">
        <v>3.45</v>
      </c>
      <c r="F184" s="19" t="e">
        <f>'Базовые концовки'!F90</f>
        <v>#NAME?</v>
      </c>
      <c r="G184" s="19"/>
      <c r="H184" s="19"/>
      <c r="J184" s="8"/>
      <c r="N184" s="19"/>
      <c r="R184" s="19"/>
    </row>
    <row r="185" spans="2:18" ht="10.5">
      <c r="B185" s="9" t="s">
        <v>118</v>
      </c>
      <c r="E185" s="18">
        <v>18</v>
      </c>
      <c r="F185" s="19" t="e">
        <f>'Базовые концовки'!F91</f>
        <v>#NAME?</v>
      </c>
      <c r="G185" s="19"/>
      <c r="H185" s="19"/>
      <c r="J185" s="8"/>
      <c r="N185" s="19"/>
      <c r="R185" s="19"/>
    </row>
    <row r="186" spans="2:18" ht="10.5">
      <c r="B186" s="9" t="s">
        <v>119</v>
      </c>
      <c r="E186" s="18"/>
      <c r="F186" s="19" t="e">
        <f>'Базовые концовки'!F92</f>
        <v>#NAME?</v>
      </c>
      <c r="G186" s="19"/>
      <c r="H186" s="19"/>
      <c r="J186" s="8"/>
      <c r="N186" s="19"/>
      <c r="R186" s="19"/>
    </row>
    <row r="188" spans="2:10" ht="10.5">
      <c r="B188" s="50" t="s">
        <v>120</v>
      </c>
      <c r="C188" s="50"/>
      <c r="D188" s="50"/>
      <c r="E188" s="50"/>
      <c r="F188" s="50"/>
      <c r="G188" s="50"/>
      <c r="H188" s="50"/>
      <c r="I188" s="50"/>
      <c r="J188" s="50"/>
    </row>
    <row r="189" spans="2:10" ht="10.5">
      <c r="B189" s="50"/>
      <c r="C189" s="50"/>
      <c r="D189" s="50"/>
      <c r="E189" s="50"/>
      <c r="F189" s="50"/>
      <c r="G189" s="50"/>
      <c r="H189" s="50"/>
      <c r="I189" s="50"/>
      <c r="J189" s="50"/>
    </row>
    <row r="190" spans="1:14" ht="10.5">
      <c r="A190" s="35" t="s">
        <v>121</v>
      </c>
      <c r="B190" s="38" t="s">
        <v>122</v>
      </c>
      <c r="C190" s="37">
        <v>0.08</v>
      </c>
      <c r="D190" s="12">
        <f>'Базовые цены за единицу'!B16</f>
        <v>631.07</v>
      </c>
      <c r="E190" s="12">
        <f>'Базовые цены за единицу'!D16</f>
        <v>384.25</v>
      </c>
      <c r="F190" s="51">
        <f>'Базовые цены с учетом расхода'!B16</f>
        <v>50.49</v>
      </c>
      <c r="G190" s="51">
        <f>'Базовые цены с учетом расхода'!C16</f>
        <v>19.75</v>
      </c>
      <c r="H190" s="12">
        <f>'Базовые цены с учетом расхода'!D16</f>
        <v>30.74</v>
      </c>
      <c r="I190" s="14">
        <v>20.5</v>
      </c>
      <c r="J190" s="14" t="e">
        <f>'Базовые цены с учетом расхода'!I16</f>
        <v>#NAME?</v>
      </c>
      <c r="K190" s="1" t="s">
        <v>32</v>
      </c>
      <c r="L190" s="1" t="s">
        <v>33</v>
      </c>
      <c r="N190" s="51">
        <f>'Базовые цены с учетом расхода'!F16</f>
        <v>0</v>
      </c>
    </row>
    <row r="191" spans="1:14" ht="33" customHeight="1">
      <c r="A191" s="37"/>
      <c r="B191" s="38"/>
      <c r="C191" s="37"/>
      <c r="D191" s="13">
        <f>'Базовые цены за единицу'!C16</f>
        <v>246.82</v>
      </c>
      <c r="E191" s="13">
        <f>'Базовые цены за единицу'!E16</f>
        <v>70.59</v>
      </c>
      <c r="F191" s="51"/>
      <c r="G191" s="51"/>
      <c r="H191" s="13">
        <f>'Базовые цены с учетом расхода'!E16</f>
        <v>5.65</v>
      </c>
      <c r="I191" s="1">
        <v>5.8</v>
      </c>
      <c r="J191" s="1" t="e">
        <f>'Базовые цены с учетом расхода'!K16</f>
        <v>#NAME?</v>
      </c>
      <c r="K191" s="1" t="s">
        <v>34</v>
      </c>
      <c r="L191" s="1" t="s">
        <v>35</v>
      </c>
      <c r="N191" s="51"/>
    </row>
    <row r="192" spans="2:6" ht="10.5" hidden="1">
      <c r="B192" s="15" t="s">
        <v>36</v>
      </c>
      <c r="F192" s="1">
        <v>19.75</v>
      </c>
    </row>
    <row r="193" spans="2:6" ht="10.5" hidden="1">
      <c r="B193" s="15" t="s">
        <v>37</v>
      </c>
      <c r="F193" s="1">
        <v>30.74</v>
      </c>
    </row>
    <row r="194" spans="2:6" ht="10.5" hidden="1">
      <c r="B194" s="15" t="s">
        <v>38</v>
      </c>
      <c r="F194" s="1">
        <v>5.65</v>
      </c>
    </row>
    <row r="195" ht="10.5" hidden="1">
      <c r="B195" s="15" t="s">
        <v>39</v>
      </c>
    </row>
    <row r="196" ht="21" hidden="1">
      <c r="B196" s="15" t="s">
        <v>40</v>
      </c>
    </row>
    <row r="197" ht="21" hidden="1">
      <c r="B197" s="15" t="s">
        <v>41</v>
      </c>
    </row>
    <row r="198" ht="10.5" hidden="1">
      <c r="B198" s="15" t="s">
        <v>42</v>
      </c>
    </row>
    <row r="199" ht="21" hidden="1">
      <c r="B199" s="15" t="s">
        <v>43</v>
      </c>
    </row>
    <row r="200" ht="10.5" hidden="1">
      <c r="B200" s="15" t="s">
        <v>44</v>
      </c>
    </row>
    <row r="201" spans="2:12" ht="10.5" hidden="1">
      <c r="B201" s="15" t="s">
        <v>45</v>
      </c>
      <c r="C201" s="1">
        <v>99</v>
      </c>
      <c r="F201" s="16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  <v>25.15</v>
      </c>
      <c r="L201" s="4" t="s">
        <v>46</v>
      </c>
    </row>
    <row r="202" spans="2:12" ht="10.5" hidden="1">
      <c r="B202" s="15" t="s">
        <v>47</v>
      </c>
      <c r="C202" s="1">
        <v>99</v>
      </c>
      <c r="F202" s="16">
        <f>IF('Базовые цены с учетом расхода'!P16&gt;0,'Базовые цены с учетом расхода'!P16,IF('Базовые цены с учетом расхода'!P16&lt;0,'Базовые цены с учетом расхода'!P16,""))</f>
        <v>19.55</v>
      </c>
      <c r="L202" s="4" t="s">
        <v>48</v>
      </c>
    </row>
    <row r="203" spans="2:12" ht="10.5" hidden="1">
      <c r="B203" s="15" t="s">
        <v>49</v>
      </c>
      <c r="C203" s="1">
        <v>99</v>
      </c>
      <c r="F203" s="16">
        <f>IF('Базовые цены с учетом расхода'!Q16&gt;0,'Базовые цены с учетом расхода'!Q16,IF('Базовые цены с учетом расхода'!Q16&lt;0,'Базовые цены с учетом расхода'!Q16,""))</f>
        <v>5.59</v>
      </c>
      <c r="L203" s="4" t="s">
        <v>50</v>
      </c>
    </row>
    <row r="204" spans="2:12" ht="10.5" hidden="1">
      <c r="B204" s="15" t="s">
        <v>51</v>
      </c>
      <c r="C204" s="1">
        <v>60</v>
      </c>
      <c r="F204" s="16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  <v>15.24</v>
      </c>
      <c r="L204" s="4" t="s">
        <v>52</v>
      </c>
    </row>
    <row r="205" spans="2:12" ht="10.5" hidden="1">
      <c r="B205" s="15" t="s">
        <v>53</v>
      </c>
      <c r="C205" s="1">
        <v>60</v>
      </c>
      <c r="F205" s="16">
        <f>IF('Базовые цены с учетом расхода'!R16&gt;0,'Базовые цены с учетом расхода'!R16,IF('Базовые цены с учетом расхода'!R16&lt;0,'Базовые цены с учетом расхода'!R16,""))</f>
        <v>11.85</v>
      </c>
      <c r="L205" s="4" t="s">
        <v>54</v>
      </c>
    </row>
    <row r="206" spans="2:12" ht="10.5" hidden="1">
      <c r="B206" s="15" t="s">
        <v>55</v>
      </c>
      <c r="C206" s="1">
        <v>60</v>
      </c>
      <c r="F206" s="16">
        <f>IF('Базовые цены с учетом расхода'!S16&gt;0,'Базовые цены с учетом расхода'!S16,IF('Базовые цены с учетом расхода'!S16&lt;0,'Базовые цены с учетом расхода'!S16,""))</f>
        <v>3.39</v>
      </c>
      <c r="L206" s="4" t="s">
        <v>56</v>
      </c>
    </row>
    <row r="207" spans="1:10" ht="10.5">
      <c r="A207" s="17"/>
      <c r="B207" s="17"/>
      <c r="C207" s="17"/>
      <c r="D207" s="17"/>
      <c r="E207" s="17"/>
      <c r="F207" s="17"/>
      <c r="G207" s="17"/>
      <c r="H207" s="17"/>
      <c r="I207" s="17"/>
      <c r="J207" s="17"/>
    </row>
    <row r="208" spans="1:14" ht="10.5">
      <c r="A208" s="35" t="s">
        <v>123</v>
      </c>
      <c r="B208" s="38" t="s">
        <v>124</v>
      </c>
      <c r="C208" s="37">
        <v>0.01</v>
      </c>
      <c r="D208" s="12">
        <f>'Базовые цены за единицу'!B17</f>
        <v>1259.06</v>
      </c>
      <c r="E208" s="12">
        <f>'Базовые цены за единицу'!D17</f>
        <v>24.25</v>
      </c>
      <c r="F208" s="51">
        <f>'Базовые цены с учетом расхода'!B17</f>
        <v>12.59</v>
      </c>
      <c r="G208" s="51">
        <f>'Базовые цены с учетом расхода'!C17</f>
        <v>4.57</v>
      </c>
      <c r="H208" s="12">
        <f>'Базовые цены с учетом расхода'!D17</f>
        <v>0.24</v>
      </c>
      <c r="I208" s="14">
        <v>44.66</v>
      </c>
      <c r="J208" s="14" t="e">
        <f>'Базовые цены с учетом расхода'!I17</f>
        <v>#NAME?</v>
      </c>
      <c r="K208" s="1" t="s">
        <v>32</v>
      </c>
      <c r="L208" s="1" t="s">
        <v>33</v>
      </c>
      <c r="N208" s="51">
        <f>'Базовые цены с учетом расхода'!F17</f>
        <v>7.78</v>
      </c>
    </row>
    <row r="209" spans="1:14" ht="43.5" customHeight="1">
      <c r="A209" s="37"/>
      <c r="B209" s="38"/>
      <c r="C209" s="37"/>
      <c r="D209" s="13">
        <f>'Базовые цены за единицу'!C17</f>
        <v>456.87</v>
      </c>
      <c r="E209" s="13">
        <f>'Базовые цены за единицу'!E17</f>
        <v>0</v>
      </c>
      <c r="F209" s="51"/>
      <c r="G209" s="51"/>
      <c r="H209" s="13">
        <f>'Базовые цены с учетом расхода'!E17</f>
        <v>0</v>
      </c>
      <c r="J209" s="1" t="e">
        <f>'Базовые цены с учетом расхода'!K17</f>
        <v>#NAME?</v>
      </c>
      <c r="K209" s="1" t="s">
        <v>34</v>
      </c>
      <c r="L209" s="1" t="s">
        <v>35</v>
      </c>
      <c r="N209" s="51"/>
    </row>
    <row r="210" spans="2:6" ht="10.5" hidden="1">
      <c r="B210" s="15" t="s">
        <v>36</v>
      </c>
      <c r="F210" s="1">
        <v>4.57</v>
      </c>
    </row>
    <row r="211" spans="2:6" ht="10.5" hidden="1">
      <c r="B211" s="15" t="s">
        <v>37</v>
      </c>
      <c r="F211" s="1">
        <v>0.24</v>
      </c>
    </row>
    <row r="212" ht="10.5" hidden="1">
      <c r="B212" s="15" t="s">
        <v>38</v>
      </c>
    </row>
    <row r="213" spans="2:6" ht="10.5" hidden="1">
      <c r="B213" s="15" t="s">
        <v>39</v>
      </c>
      <c r="F213" s="1">
        <v>7.78</v>
      </c>
    </row>
    <row r="214" ht="21" hidden="1">
      <c r="B214" s="15" t="s">
        <v>40</v>
      </c>
    </row>
    <row r="215" ht="21" hidden="1">
      <c r="B215" s="15" t="s">
        <v>41</v>
      </c>
    </row>
    <row r="216" ht="10.5" hidden="1">
      <c r="B216" s="15" t="s">
        <v>42</v>
      </c>
    </row>
    <row r="217" ht="21" hidden="1">
      <c r="B217" s="15" t="s">
        <v>43</v>
      </c>
    </row>
    <row r="218" ht="10.5" hidden="1">
      <c r="B218" s="15" t="s">
        <v>44</v>
      </c>
    </row>
    <row r="219" spans="2:12" ht="10.5" hidden="1">
      <c r="B219" s="15" t="s">
        <v>45</v>
      </c>
      <c r="C219" s="1">
        <v>99</v>
      </c>
      <c r="F219" s="16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  <v>4.52</v>
      </c>
      <c r="L219" s="4" t="s">
        <v>46</v>
      </c>
    </row>
    <row r="220" spans="2:12" ht="10.5" hidden="1">
      <c r="B220" s="15" t="s">
        <v>47</v>
      </c>
      <c r="C220" s="1">
        <v>99</v>
      </c>
      <c r="F220" s="16">
        <f>IF('Базовые цены с учетом расхода'!P17&gt;0,'Базовые цены с учетом расхода'!P17,IF('Базовые цены с учетом расхода'!P17&lt;0,'Базовые цены с учетом расхода'!P17,""))</f>
        <v>4.52</v>
      </c>
      <c r="L220" s="4" t="s">
        <v>48</v>
      </c>
    </row>
    <row r="221" spans="2:12" ht="10.5" hidden="1">
      <c r="B221" s="15" t="s">
        <v>49</v>
      </c>
      <c r="F221" s="16">
        <f>IF('Базовые цены с учетом расхода'!Q17&gt;0,'Базовые цены с учетом расхода'!Q17,IF('Базовые цены с учетом расхода'!Q17&lt;0,'Базовые цены с учетом расхода'!Q17,""))</f>
      </c>
      <c r="L221" s="4" t="s">
        <v>50</v>
      </c>
    </row>
    <row r="222" spans="2:12" ht="10.5" hidden="1">
      <c r="B222" s="15" t="s">
        <v>51</v>
      </c>
      <c r="C222" s="1">
        <v>60</v>
      </c>
      <c r="F222" s="16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  <v>2.74</v>
      </c>
      <c r="L222" s="4" t="s">
        <v>52</v>
      </c>
    </row>
    <row r="223" spans="2:12" ht="10.5" hidden="1">
      <c r="B223" s="15" t="s">
        <v>53</v>
      </c>
      <c r="C223" s="1">
        <v>60</v>
      </c>
      <c r="F223" s="16">
        <f>IF('Базовые цены с учетом расхода'!R17&gt;0,'Базовые цены с учетом расхода'!R17,IF('Базовые цены с учетом расхода'!R17&lt;0,'Базовые цены с учетом расхода'!R17,""))</f>
        <v>2.74</v>
      </c>
      <c r="L223" s="4" t="s">
        <v>54</v>
      </c>
    </row>
    <row r="224" spans="2:12" ht="10.5" hidden="1">
      <c r="B224" s="15" t="s">
        <v>55</v>
      </c>
      <c r="F224" s="16">
        <f>IF('Базовые цены с учетом расхода'!S17&gt;0,'Базовые цены с учетом расхода'!S17,IF('Базовые цены с учетом расхода'!S17&lt;0,'Базовые цены с учетом расхода'!S17,""))</f>
      </c>
      <c r="L224" s="4" t="s">
        <v>56</v>
      </c>
    </row>
    <row r="225" spans="1:10" ht="10.5">
      <c r="A225" s="17"/>
      <c r="B225" s="17"/>
      <c r="C225" s="17"/>
      <c r="D225" s="17"/>
      <c r="E225" s="17"/>
      <c r="F225" s="17"/>
      <c r="G225" s="17"/>
      <c r="H225" s="17"/>
      <c r="I225" s="17"/>
      <c r="J225" s="17"/>
    </row>
    <row r="226" spans="2:18" ht="10.5">
      <c r="B226" s="9" t="s">
        <v>125</v>
      </c>
      <c r="E226" s="53"/>
      <c r="F226" s="52">
        <f>'Базовые концовки'!F97</f>
        <v>63.08</v>
      </c>
      <c r="G226" s="52">
        <f>'Базовые концовки'!G97</f>
        <v>24.32</v>
      </c>
      <c r="H226" s="20">
        <f>'Базовые концовки'!H97</f>
        <v>30.98</v>
      </c>
      <c r="I226" s="37"/>
      <c r="J226" s="21" t="e">
        <f>'Базовые концовки'!J97</f>
        <v>#NAME?</v>
      </c>
      <c r="N226" s="52">
        <f>'Базовые концовки'!L97</f>
        <v>7.78</v>
      </c>
      <c r="R226" s="52">
        <f>'Базовые концовки'!M97</f>
        <v>0</v>
      </c>
    </row>
    <row r="227" spans="5:18" ht="10.5">
      <c r="E227" s="53"/>
      <c r="F227" s="52"/>
      <c r="G227" s="52"/>
      <c r="H227" s="19">
        <f>'Базовые концовки'!I97</f>
        <v>5.65</v>
      </c>
      <c r="I227" s="37"/>
      <c r="J227" s="8" t="e">
        <f>'Базовые концовки'!K97</f>
        <v>#NAME?</v>
      </c>
      <c r="N227" s="52"/>
      <c r="R227" s="52"/>
    </row>
    <row r="228" spans="2:18" ht="10.5" hidden="1">
      <c r="B228" s="9" t="s">
        <v>64</v>
      </c>
      <c r="D228" s="18"/>
      <c r="F228" s="19">
        <f>'Базовые концовки'!F98</f>
        <v>0</v>
      </c>
      <c r="G228" s="19">
        <f>'Базовые концовки'!G98</f>
        <v>0</v>
      </c>
      <c r="H228" s="19">
        <f>'Базовые концовки'!H98</f>
        <v>0</v>
      </c>
      <c r="J228" s="8">
        <f>'Базовые концовки'!J98</f>
        <v>0</v>
      </c>
      <c r="N228" s="19">
        <f>'Базовые концовки'!L98</f>
        <v>0</v>
      </c>
      <c r="R228" s="19">
        <f>'Базовые концовки'!M98</f>
        <v>0</v>
      </c>
    </row>
    <row r="229" spans="2:18" ht="10.5" hidden="1">
      <c r="B229" s="9" t="s">
        <v>65</v>
      </c>
      <c r="D229" s="18"/>
      <c r="F229" s="19" t="e">
        <f>'Базовые концовки'!F99</f>
        <v>#NAME?</v>
      </c>
      <c r="G229" s="19"/>
      <c r="H229" s="19"/>
      <c r="J229" s="8"/>
      <c r="N229" s="19"/>
      <c r="R229" s="19"/>
    </row>
    <row r="230" spans="2:18" ht="10.5" hidden="1">
      <c r="B230" s="9" t="s">
        <v>66</v>
      </c>
      <c r="D230" s="18"/>
      <c r="F230" s="19" t="e">
        <f>'Базовые концовки'!F100</f>
        <v>#NAME?</v>
      </c>
      <c r="G230" s="19"/>
      <c r="H230" s="19"/>
      <c r="J230" s="8"/>
      <c r="N230" s="19"/>
      <c r="R230" s="19"/>
    </row>
    <row r="231" spans="2:18" ht="10.5" hidden="1">
      <c r="B231" s="9" t="s">
        <v>67</v>
      </c>
      <c r="D231" s="18"/>
      <c r="F231" s="19" t="e">
        <f>'Базовые концовки'!F101</f>
        <v>#NAME?</v>
      </c>
      <c r="G231" s="19"/>
      <c r="H231" s="19"/>
      <c r="J231" s="8"/>
      <c r="N231" s="19"/>
      <c r="R231" s="19"/>
    </row>
    <row r="232" spans="2:18" ht="10.5" hidden="1">
      <c r="B232" s="9" t="s">
        <v>68</v>
      </c>
      <c r="D232" s="18"/>
      <c r="F232" s="19" t="e">
        <f>'Базовые концовки'!F102</f>
        <v>#NAME?</v>
      </c>
      <c r="G232" s="19"/>
      <c r="H232" s="19"/>
      <c r="J232" s="8"/>
      <c r="N232" s="19"/>
      <c r="R232" s="19"/>
    </row>
    <row r="233" spans="2:18" ht="10.5" hidden="1">
      <c r="B233" s="9" t="s">
        <v>69</v>
      </c>
      <c r="D233" s="18"/>
      <c r="F233" s="19" t="e">
        <f>'Базовые концовки'!F103</f>
        <v>#NAME?</v>
      </c>
      <c r="G233" s="19"/>
      <c r="H233" s="19"/>
      <c r="J233" s="8"/>
      <c r="N233" s="19"/>
      <c r="R233" s="19"/>
    </row>
    <row r="234" spans="2:18" ht="10.5" hidden="1">
      <c r="B234" s="9" t="s">
        <v>70</v>
      </c>
      <c r="D234" s="18"/>
      <c r="F234" s="19" t="e">
        <f>'Базовые концовки'!F104</f>
        <v>#NAME?</v>
      </c>
      <c r="G234" s="19"/>
      <c r="H234" s="19"/>
      <c r="J234" s="8"/>
      <c r="N234" s="19"/>
      <c r="R234" s="19"/>
    </row>
    <row r="235" spans="2:18" ht="10.5" hidden="1">
      <c r="B235" s="9" t="s">
        <v>71</v>
      </c>
      <c r="D235" s="18"/>
      <c r="F235" s="19" t="e">
        <f>'Базовые концовки'!F105</f>
        <v>#NAME?</v>
      </c>
      <c r="G235" s="19"/>
      <c r="H235" s="19"/>
      <c r="J235" s="8"/>
      <c r="N235" s="19"/>
      <c r="R235" s="19"/>
    </row>
    <row r="236" spans="2:18" ht="10.5" hidden="1">
      <c r="B236" s="9" t="s">
        <v>72</v>
      </c>
      <c r="D236" s="18"/>
      <c r="F236" s="19" t="e">
        <f>'Базовые концовки'!F106</f>
        <v>#NAME?</v>
      </c>
      <c r="G236" s="19"/>
      <c r="H236" s="19"/>
      <c r="J236" s="8"/>
      <c r="N236" s="19"/>
      <c r="R236" s="19"/>
    </row>
    <row r="237" spans="2:18" ht="10.5" hidden="1">
      <c r="B237" s="9" t="s">
        <v>73</v>
      </c>
      <c r="D237" s="18"/>
      <c r="F237" s="19" t="e">
        <f>'Базовые концовки'!F107</f>
        <v>#NAME?</v>
      </c>
      <c r="G237" s="19"/>
      <c r="H237" s="19"/>
      <c r="J237" s="8"/>
      <c r="N237" s="19"/>
      <c r="R237" s="19"/>
    </row>
    <row r="238" spans="2:18" ht="10.5" hidden="1">
      <c r="B238" s="9" t="s">
        <v>74</v>
      </c>
      <c r="D238" s="18"/>
      <c r="F238" s="19">
        <f>'Базовые концовки'!F108</f>
        <v>0</v>
      </c>
      <c r="G238" s="19">
        <f>'Базовые концовки'!G108</f>
        <v>0</v>
      </c>
      <c r="H238" s="19">
        <f>'Базовые концовки'!H108</f>
        <v>0</v>
      </c>
      <c r="J238" s="8">
        <f>'Базовые концовки'!J108</f>
        <v>0</v>
      </c>
      <c r="N238" s="19">
        <f>'Базовые концовки'!L108</f>
        <v>0</v>
      </c>
      <c r="R238" s="19">
        <f>'Базовые концовки'!M108</f>
        <v>0</v>
      </c>
    </row>
    <row r="239" spans="2:18" ht="10.5" hidden="1">
      <c r="B239" s="9" t="s">
        <v>75</v>
      </c>
      <c r="D239" s="18"/>
      <c r="F239" s="19"/>
      <c r="G239" s="19"/>
      <c r="H239" s="19"/>
      <c r="J239" s="8"/>
      <c r="N239" s="19"/>
      <c r="R239" s="19"/>
    </row>
    <row r="240" spans="2:18" ht="10.5" hidden="1">
      <c r="B240" s="9" t="s">
        <v>76</v>
      </c>
      <c r="D240" s="18"/>
      <c r="F240" s="19"/>
      <c r="G240" s="19">
        <f>'Базовые концовки'!G110</f>
        <v>0</v>
      </c>
      <c r="H240" s="19"/>
      <c r="J240" s="8"/>
      <c r="N240" s="19"/>
      <c r="R240" s="19"/>
    </row>
    <row r="241" spans="2:18" ht="10.5" hidden="1">
      <c r="B241" s="9" t="s">
        <v>77</v>
      </c>
      <c r="D241" s="18"/>
      <c r="F241" s="19">
        <f>'Базовые концовки'!F111</f>
        <v>0</v>
      </c>
      <c r="G241" s="19"/>
      <c r="H241" s="19"/>
      <c r="J241" s="8"/>
      <c r="N241" s="19"/>
      <c r="R241" s="19"/>
    </row>
    <row r="242" spans="2:18" ht="10.5" hidden="1">
      <c r="B242" s="9" t="s">
        <v>78</v>
      </c>
      <c r="D242" s="18"/>
      <c r="F242" s="19" t="e">
        <f>'Базовые концовки'!F112</f>
        <v>#NAME?</v>
      </c>
      <c r="G242" s="19"/>
      <c r="H242" s="19"/>
      <c r="J242" s="8"/>
      <c r="N242" s="19"/>
      <c r="R242" s="19"/>
    </row>
    <row r="243" spans="2:18" ht="10.5" hidden="1">
      <c r="B243" s="9" t="s">
        <v>79</v>
      </c>
      <c r="D243" s="18"/>
      <c r="F243" s="19">
        <f>'Базовые концовки'!F113</f>
        <v>0</v>
      </c>
      <c r="G243" s="19"/>
      <c r="H243" s="19"/>
      <c r="J243" s="8"/>
      <c r="N243" s="19"/>
      <c r="R243" s="19"/>
    </row>
    <row r="244" spans="2:18" ht="10.5" hidden="1">
      <c r="B244" s="9" t="s">
        <v>80</v>
      </c>
      <c r="D244" s="18"/>
      <c r="F244" s="19">
        <f>'Базовые концовки'!F114</f>
        <v>0</v>
      </c>
      <c r="G244" s="19"/>
      <c r="H244" s="19"/>
      <c r="J244" s="8"/>
      <c r="N244" s="19"/>
      <c r="R244" s="19"/>
    </row>
    <row r="245" spans="2:18" ht="10.5" hidden="1">
      <c r="B245" s="9" t="s">
        <v>81</v>
      </c>
      <c r="D245" s="18"/>
      <c r="F245" s="19">
        <f>'Базовые концовки'!F115</f>
        <v>0</v>
      </c>
      <c r="G245" s="19"/>
      <c r="H245" s="19"/>
      <c r="J245" s="8"/>
      <c r="N245" s="19"/>
      <c r="R245" s="19"/>
    </row>
    <row r="246" spans="2:18" ht="10.5" hidden="1">
      <c r="B246" s="9" t="s">
        <v>72</v>
      </c>
      <c r="D246" s="18"/>
      <c r="F246" s="19" t="e">
        <f>'Базовые концовки'!F116</f>
        <v>#NAME?</v>
      </c>
      <c r="G246" s="19"/>
      <c r="H246" s="19"/>
      <c r="J246" s="8"/>
      <c r="N246" s="19"/>
      <c r="R246" s="19"/>
    </row>
    <row r="247" spans="2:18" ht="10.5" hidden="1">
      <c r="B247" s="9" t="s">
        <v>82</v>
      </c>
      <c r="D247" s="18"/>
      <c r="F247" s="19">
        <f>'Базовые концовки'!F117</f>
        <v>0</v>
      </c>
      <c r="G247" s="19"/>
      <c r="H247" s="19"/>
      <c r="J247" s="8"/>
      <c r="N247" s="19"/>
      <c r="R247" s="19"/>
    </row>
    <row r="248" spans="2:18" ht="10.5">
      <c r="B248" s="9" t="s">
        <v>83</v>
      </c>
      <c r="E248" s="53"/>
      <c r="F248" s="52">
        <f>'Базовые концовки'!F118</f>
        <v>63.08</v>
      </c>
      <c r="G248" s="52">
        <f>'Базовые концовки'!G118</f>
        <v>24.32</v>
      </c>
      <c r="H248" s="20">
        <f>'Базовые концовки'!H118</f>
        <v>30.98</v>
      </c>
      <c r="I248" s="37"/>
      <c r="J248" s="21" t="e">
        <f>'Базовые концовки'!J118</f>
        <v>#NAME?</v>
      </c>
      <c r="N248" s="52">
        <f>'Базовые концовки'!L118</f>
        <v>7.78</v>
      </c>
      <c r="R248" s="52">
        <f>'Базовые концовки'!M118</f>
        <v>0</v>
      </c>
    </row>
    <row r="249" spans="5:18" ht="10.5">
      <c r="E249" s="53"/>
      <c r="F249" s="52"/>
      <c r="G249" s="52"/>
      <c r="H249" s="19">
        <f>'Базовые концовки'!I118</f>
        <v>5.65</v>
      </c>
      <c r="I249" s="37"/>
      <c r="J249" s="8" t="e">
        <f>'Базовые концовки'!K118</f>
        <v>#NAME?</v>
      </c>
      <c r="N249" s="52"/>
      <c r="R249" s="52"/>
    </row>
    <row r="250" spans="2:18" ht="10.5" hidden="1">
      <c r="B250" s="9" t="s">
        <v>75</v>
      </c>
      <c r="D250" s="18"/>
      <c r="F250" s="19"/>
      <c r="G250" s="19"/>
      <c r="H250" s="19"/>
      <c r="J250" s="8"/>
      <c r="N250" s="19"/>
      <c r="R250" s="19"/>
    </row>
    <row r="251" spans="2:18" ht="10.5" hidden="1">
      <c r="B251" s="9" t="s">
        <v>84</v>
      </c>
      <c r="D251" s="18"/>
      <c r="F251" s="19" t="e">
        <f>'Базовые концовки'!F120</f>
        <v>#NAME?</v>
      </c>
      <c r="G251" s="19"/>
      <c r="H251" s="19"/>
      <c r="J251" s="8"/>
      <c r="N251" s="19"/>
      <c r="R251" s="19"/>
    </row>
    <row r="252" spans="2:18" ht="10.5" hidden="1">
      <c r="B252" s="9" t="s">
        <v>79</v>
      </c>
      <c r="D252" s="18"/>
      <c r="F252" s="19">
        <f>'Базовые концовки'!F121</f>
        <v>0</v>
      </c>
      <c r="G252" s="19"/>
      <c r="H252" s="19"/>
      <c r="J252" s="8"/>
      <c r="N252" s="19"/>
      <c r="R252" s="19"/>
    </row>
    <row r="253" spans="2:18" ht="10.5">
      <c r="B253" s="9" t="s">
        <v>126</v>
      </c>
      <c r="E253" s="18"/>
      <c r="F253" s="19">
        <f>'Базовые концовки'!F122</f>
        <v>29.67</v>
      </c>
      <c r="G253" s="19"/>
      <c r="H253" s="19"/>
      <c r="J253" s="8"/>
      <c r="N253" s="19"/>
      <c r="R253" s="19"/>
    </row>
    <row r="254" spans="2:18" ht="10.5">
      <c r="B254" s="9" t="s">
        <v>127</v>
      </c>
      <c r="E254" s="18"/>
      <c r="F254" s="19">
        <f>'Базовые концовки'!F123</f>
        <v>17.98</v>
      </c>
      <c r="G254" s="19"/>
      <c r="H254" s="19"/>
      <c r="J254" s="8"/>
      <c r="N254" s="19"/>
      <c r="R254" s="19"/>
    </row>
    <row r="255" spans="2:18" ht="10.5">
      <c r="B255" s="9" t="s">
        <v>85</v>
      </c>
      <c r="E255" s="18"/>
      <c r="F255" s="19">
        <f>'Базовые концовки'!F124</f>
        <v>110.73</v>
      </c>
      <c r="G255" s="19"/>
      <c r="H255" s="19"/>
      <c r="J255" s="8"/>
      <c r="N255" s="19"/>
      <c r="R255" s="19"/>
    </row>
    <row r="256" spans="2:18" ht="10.5" hidden="1">
      <c r="B256" s="9" t="s">
        <v>86</v>
      </c>
      <c r="D256" s="18"/>
      <c r="F256" s="19">
        <f>'Базовые концовки'!F125</f>
        <v>0</v>
      </c>
      <c r="G256" s="19">
        <f>'Базовые концовки'!G125</f>
        <v>0</v>
      </c>
      <c r="H256" s="19">
        <f>'Базовые концовки'!H125</f>
        <v>0</v>
      </c>
      <c r="J256" s="8">
        <f>'Базовые концовки'!J125</f>
        <v>0</v>
      </c>
      <c r="N256" s="19">
        <f>'Базовые концовки'!L125</f>
        <v>0</v>
      </c>
      <c r="R256" s="19">
        <f>'Базовые концовки'!M125</f>
        <v>0</v>
      </c>
    </row>
    <row r="257" spans="2:18" ht="10.5" hidden="1">
      <c r="B257" s="9" t="s">
        <v>79</v>
      </c>
      <c r="D257" s="18"/>
      <c r="F257" s="19">
        <f>'Базовые концовки'!F126</f>
        <v>0</v>
      </c>
      <c r="G257" s="19"/>
      <c r="H257" s="19"/>
      <c r="J257" s="8"/>
      <c r="N257" s="19"/>
      <c r="R257" s="19"/>
    </row>
    <row r="258" spans="2:18" ht="10.5" hidden="1">
      <c r="B258" s="9" t="s">
        <v>80</v>
      </c>
      <c r="D258" s="18"/>
      <c r="F258" s="19">
        <f>'Базовые концовки'!F127</f>
        <v>0</v>
      </c>
      <c r="G258" s="19"/>
      <c r="H258" s="19"/>
      <c r="J258" s="8"/>
      <c r="N258" s="19"/>
      <c r="R258" s="19"/>
    </row>
    <row r="259" spans="2:18" ht="10.5" hidden="1">
      <c r="B259" s="9" t="s">
        <v>81</v>
      </c>
      <c r="D259" s="18"/>
      <c r="F259" s="19">
        <f>'Базовые концовки'!F128</f>
        <v>0</v>
      </c>
      <c r="G259" s="19"/>
      <c r="H259" s="19"/>
      <c r="J259" s="8"/>
      <c r="N259" s="19"/>
      <c r="R259" s="19"/>
    </row>
    <row r="260" spans="2:18" ht="10.5" hidden="1">
      <c r="B260" s="9" t="s">
        <v>87</v>
      </c>
      <c r="D260" s="18"/>
      <c r="F260" s="19">
        <f>'Базовые концовки'!F129</f>
        <v>0</v>
      </c>
      <c r="G260" s="19"/>
      <c r="H260" s="19"/>
      <c r="J260" s="8"/>
      <c r="N260" s="19"/>
      <c r="R260" s="19"/>
    </row>
    <row r="261" spans="2:18" ht="10.5" hidden="1">
      <c r="B261" s="9" t="s">
        <v>88</v>
      </c>
      <c r="D261" s="18"/>
      <c r="F261" s="19">
        <f>'Базовые концовки'!F130</f>
        <v>0</v>
      </c>
      <c r="G261" s="19">
        <f>'Базовые концовки'!G130</f>
        <v>0</v>
      </c>
      <c r="H261" s="19">
        <f>'Базовые концовки'!H130</f>
        <v>0</v>
      </c>
      <c r="J261" s="8">
        <f>'Базовые концовки'!J130</f>
        <v>0</v>
      </c>
      <c r="N261" s="19">
        <f>'Базовые концовки'!L130</f>
        <v>0</v>
      </c>
      <c r="R261" s="19">
        <f>'Базовые концовки'!M130</f>
        <v>0</v>
      </c>
    </row>
    <row r="262" spans="2:18" ht="10.5" hidden="1">
      <c r="B262" s="9" t="s">
        <v>75</v>
      </c>
      <c r="D262" s="18"/>
      <c r="F262" s="19"/>
      <c r="G262" s="19"/>
      <c r="H262" s="19"/>
      <c r="J262" s="8"/>
      <c r="N262" s="19"/>
      <c r="R262" s="19"/>
    </row>
    <row r="263" spans="2:18" ht="10.5" hidden="1">
      <c r="B263" s="9" t="s">
        <v>89</v>
      </c>
      <c r="D263" s="18"/>
      <c r="F263" s="19">
        <f>'Базовые концовки'!F132</f>
        <v>0</v>
      </c>
      <c r="G263" s="19"/>
      <c r="H263" s="19"/>
      <c r="J263" s="8"/>
      <c r="N263" s="19"/>
      <c r="R263" s="19"/>
    </row>
    <row r="264" spans="2:18" ht="10.5" hidden="1">
      <c r="B264" s="9" t="s">
        <v>79</v>
      </c>
      <c r="D264" s="18"/>
      <c r="F264" s="19">
        <f>'Базовые концовки'!F133</f>
        <v>0</v>
      </c>
      <c r="G264" s="19"/>
      <c r="H264" s="19"/>
      <c r="J264" s="8"/>
      <c r="N264" s="19"/>
      <c r="R264" s="19"/>
    </row>
    <row r="265" spans="2:18" ht="10.5" hidden="1">
      <c r="B265" s="9" t="s">
        <v>80</v>
      </c>
      <c r="D265" s="18"/>
      <c r="F265" s="19">
        <f>'Базовые концовки'!F134</f>
        <v>0</v>
      </c>
      <c r="G265" s="19"/>
      <c r="H265" s="19"/>
      <c r="J265" s="8"/>
      <c r="N265" s="19"/>
      <c r="R265" s="19"/>
    </row>
    <row r="266" spans="2:18" ht="10.5" hidden="1">
      <c r="B266" s="9" t="s">
        <v>81</v>
      </c>
      <c r="D266" s="18"/>
      <c r="F266" s="19">
        <f>'Базовые концовки'!F135</f>
        <v>0</v>
      </c>
      <c r="G266" s="19"/>
      <c r="H266" s="19"/>
      <c r="J266" s="8"/>
      <c r="N266" s="19"/>
      <c r="R266" s="19"/>
    </row>
    <row r="267" spans="2:18" ht="10.5" hidden="1">
      <c r="B267" s="9" t="s">
        <v>72</v>
      </c>
      <c r="D267" s="18"/>
      <c r="F267" s="19" t="e">
        <f>'Базовые концовки'!F136</f>
        <v>#NAME?</v>
      </c>
      <c r="G267" s="19"/>
      <c r="H267" s="19"/>
      <c r="J267" s="8"/>
      <c r="N267" s="19"/>
      <c r="R267" s="19"/>
    </row>
    <row r="268" spans="2:18" ht="10.5" hidden="1">
      <c r="B268" s="9" t="s">
        <v>92</v>
      </c>
      <c r="D268" s="18"/>
      <c r="F268" s="19">
        <f>'Базовые концовки'!F137</f>
        <v>0</v>
      </c>
      <c r="G268" s="19"/>
      <c r="H268" s="19"/>
      <c r="J268" s="8"/>
      <c r="N268" s="19"/>
      <c r="R268" s="19"/>
    </row>
    <row r="269" spans="2:18" ht="10.5" hidden="1">
      <c r="B269" s="9" t="s">
        <v>93</v>
      </c>
      <c r="D269" s="18"/>
      <c r="F269" s="19">
        <f>'Базовые концовки'!F138</f>
        <v>0</v>
      </c>
      <c r="G269" s="19">
        <f>'Базовые концовки'!G138</f>
        <v>0</v>
      </c>
      <c r="H269" s="19">
        <f>'Базовые концовки'!H138</f>
        <v>0</v>
      </c>
      <c r="J269" s="8">
        <f>'Базовые концовки'!J138</f>
        <v>0</v>
      </c>
      <c r="N269" s="19">
        <f>'Базовые концовки'!L138</f>
        <v>0</v>
      </c>
      <c r="R269" s="19">
        <f>'Базовые концовки'!M138</f>
        <v>0</v>
      </c>
    </row>
    <row r="270" spans="2:18" ht="10.5" hidden="1">
      <c r="B270" s="9" t="s">
        <v>79</v>
      </c>
      <c r="D270" s="18"/>
      <c r="F270" s="19">
        <f>'Базовые концовки'!F139</f>
        <v>0</v>
      </c>
      <c r="G270" s="19"/>
      <c r="H270" s="19"/>
      <c r="J270" s="8"/>
      <c r="N270" s="19"/>
      <c r="R270" s="19"/>
    </row>
    <row r="271" spans="2:18" ht="10.5" hidden="1">
      <c r="B271" s="9" t="s">
        <v>80</v>
      </c>
      <c r="D271" s="18"/>
      <c r="F271" s="19">
        <f>'Базовые концовки'!F140</f>
        <v>0</v>
      </c>
      <c r="G271" s="19"/>
      <c r="H271" s="19"/>
      <c r="J271" s="8"/>
      <c r="N271" s="19"/>
      <c r="R271" s="19"/>
    </row>
    <row r="272" spans="2:18" ht="10.5" hidden="1">
      <c r="B272" s="9" t="s">
        <v>81</v>
      </c>
      <c r="D272" s="18"/>
      <c r="F272" s="19">
        <f>'Базовые концовки'!F141</f>
        <v>0</v>
      </c>
      <c r="G272" s="19"/>
      <c r="H272" s="19"/>
      <c r="J272" s="8"/>
      <c r="N272" s="19"/>
      <c r="R272" s="19"/>
    </row>
    <row r="273" spans="2:18" ht="10.5" hidden="1">
      <c r="B273" s="9" t="s">
        <v>94</v>
      </c>
      <c r="D273" s="18"/>
      <c r="F273" s="19">
        <f>'Базовые концовки'!F142</f>
        <v>0</v>
      </c>
      <c r="G273" s="19"/>
      <c r="H273" s="19"/>
      <c r="J273" s="8"/>
      <c r="N273" s="19"/>
      <c r="R273" s="19"/>
    </row>
    <row r="274" spans="2:18" ht="10.5" hidden="1">
      <c r="B274" s="9" t="s">
        <v>95</v>
      </c>
      <c r="D274" s="18"/>
      <c r="F274" s="19">
        <f>'Базовые концовки'!F143</f>
        <v>0</v>
      </c>
      <c r="G274" s="19">
        <f>'Базовые концовки'!G143</f>
        <v>0</v>
      </c>
      <c r="H274" s="19">
        <f>'Базовые концовки'!H143</f>
        <v>0</v>
      </c>
      <c r="J274" s="8">
        <f>'Базовые концовки'!J143</f>
        <v>0</v>
      </c>
      <c r="N274" s="19">
        <f>'Базовые концовки'!L143</f>
        <v>0</v>
      </c>
      <c r="R274" s="19">
        <f>'Базовые концовки'!M143</f>
        <v>0</v>
      </c>
    </row>
    <row r="275" spans="2:18" ht="10.5" hidden="1">
      <c r="B275" s="9" t="s">
        <v>79</v>
      </c>
      <c r="D275" s="18"/>
      <c r="F275" s="19">
        <f>'Базовые концовки'!F144</f>
        <v>0</v>
      </c>
      <c r="G275" s="19"/>
      <c r="H275" s="19"/>
      <c r="J275" s="8"/>
      <c r="N275" s="19"/>
      <c r="R275" s="19"/>
    </row>
    <row r="276" spans="2:18" ht="10.5" hidden="1">
      <c r="B276" s="9" t="s">
        <v>80</v>
      </c>
      <c r="D276" s="18"/>
      <c r="F276" s="19">
        <f>'Базовые концовки'!F145</f>
        <v>0</v>
      </c>
      <c r="G276" s="19"/>
      <c r="H276" s="19"/>
      <c r="J276" s="8"/>
      <c r="N276" s="19"/>
      <c r="R276" s="19"/>
    </row>
    <row r="277" spans="2:18" ht="10.5" hidden="1">
      <c r="B277" s="9" t="s">
        <v>81</v>
      </c>
      <c r="D277" s="18"/>
      <c r="F277" s="19">
        <f>'Базовые концовки'!F146</f>
        <v>0</v>
      </c>
      <c r="G277" s="19"/>
      <c r="H277" s="19"/>
      <c r="J277" s="8"/>
      <c r="N277" s="19"/>
      <c r="R277" s="19"/>
    </row>
    <row r="278" spans="2:18" ht="10.5" hidden="1">
      <c r="B278" s="9" t="s">
        <v>96</v>
      </c>
      <c r="D278" s="18"/>
      <c r="F278" s="19">
        <f>'Базовые концовки'!F147</f>
        <v>0</v>
      </c>
      <c r="G278" s="19"/>
      <c r="H278" s="19"/>
      <c r="J278" s="8"/>
      <c r="N278" s="19"/>
      <c r="R278" s="19"/>
    </row>
    <row r="279" spans="2:18" ht="10.5" hidden="1">
      <c r="B279" s="9" t="s">
        <v>97</v>
      </c>
      <c r="D279" s="18"/>
      <c r="F279" s="19">
        <f>'Базовые концовки'!F148</f>
        <v>0</v>
      </c>
      <c r="G279" s="19">
        <f>'Базовые концовки'!G148</f>
        <v>0</v>
      </c>
      <c r="H279" s="19">
        <f>'Базовые концовки'!H148</f>
        <v>0</v>
      </c>
      <c r="J279" s="8">
        <f>'Базовые концовки'!J148</f>
        <v>0</v>
      </c>
      <c r="N279" s="19">
        <f>'Базовые концовки'!L148</f>
        <v>0</v>
      </c>
      <c r="R279" s="19">
        <f>'Базовые концовки'!M148</f>
        <v>0</v>
      </c>
    </row>
    <row r="280" spans="2:18" ht="10.5" hidden="1">
      <c r="B280" s="9" t="s">
        <v>75</v>
      </c>
      <c r="D280" s="18"/>
      <c r="F280" s="19"/>
      <c r="G280" s="19"/>
      <c r="H280" s="19"/>
      <c r="J280" s="8"/>
      <c r="N280" s="19"/>
      <c r="R280" s="19"/>
    </row>
    <row r="281" spans="2:18" ht="10.5" hidden="1">
      <c r="B281" s="9" t="s">
        <v>98</v>
      </c>
      <c r="D281" s="18"/>
      <c r="F281" s="19" t="e">
        <f>'Базовые концовки'!F150</f>
        <v>#NAME?</v>
      </c>
      <c r="G281" s="19"/>
      <c r="H281" s="19"/>
      <c r="J281" s="8"/>
      <c r="N281" s="19"/>
      <c r="R281" s="19"/>
    </row>
    <row r="282" spans="2:18" ht="10.5" hidden="1">
      <c r="B282" s="9" t="s">
        <v>79</v>
      </c>
      <c r="D282" s="18"/>
      <c r="F282" s="19">
        <f>'Базовые концовки'!F151</f>
        <v>0</v>
      </c>
      <c r="G282" s="19"/>
      <c r="H282" s="19"/>
      <c r="J282" s="8"/>
      <c r="N282" s="19"/>
      <c r="R282" s="19"/>
    </row>
    <row r="283" spans="2:18" ht="10.5" hidden="1">
      <c r="B283" s="9" t="s">
        <v>99</v>
      </c>
      <c r="D283" s="18"/>
      <c r="F283" s="19">
        <f>'Базовые концовки'!F152</f>
        <v>0</v>
      </c>
      <c r="G283" s="19"/>
      <c r="H283" s="19"/>
      <c r="J283" s="8"/>
      <c r="N283" s="19"/>
      <c r="R283" s="19"/>
    </row>
    <row r="284" spans="2:18" ht="10.5" hidden="1">
      <c r="B284" s="9" t="s">
        <v>81</v>
      </c>
      <c r="D284" s="18"/>
      <c r="F284" s="19">
        <f>'Базовые концовки'!F153</f>
        <v>0</v>
      </c>
      <c r="G284" s="19"/>
      <c r="H284" s="19"/>
      <c r="J284" s="8"/>
      <c r="N284" s="19"/>
      <c r="R284" s="19"/>
    </row>
    <row r="285" spans="2:18" ht="10.5" hidden="1">
      <c r="B285" s="9" t="s">
        <v>100</v>
      </c>
      <c r="D285" s="18"/>
      <c r="F285" s="19">
        <f>'Базовые концовки'!F154</f>
        <v>0</v>
      </c>
      <c r="G285" s="19"/>
      <c r="H285" s="19"/>
      <c r="J285" s="8"/>
      <c r="N285" s="19"/>
      <c r="R285" s="19"/>
    </row>
    <row r="286" spans="2:18" ht="10.5" hidden="1">
      <c r="B286" s="9" t="s">
        <v>101</v>
      </c>
      <c r="D286" s="18"/>
      <c r="F286" s="19">
        <f>'Базовые концовки'!F155</f>
        <v>0</v>
      </c>
      <c r="G286" s="19">
        <f>'Базовые концовки'!G155</f>
        <v>0</v>
      </c>
      <c r="H286" s="19">
        <f>'Базовые концовки'!H155</f>
        <v>0</v>
      </c>
      <c r="J286" s="8">
        <f>'Базовые концовки'!J155</f>
        <v>0</v>
      </c>
      <c r="N286" s="19">
        <f>'Базовые концовки'!L155</f>
        <v>0</v>
      </c>
      <c r="R286" s="19">
        <f>'Базовые концовки'!M155</f>
        <v>0</v>
      </c>
    </row>
    <row r="287" spans="2:18" ht="10.5" hidden="1">
      <c r="B287" s="9" t="s">
        <v>99</v>
      </c>
      <c r="D287" s="18"/>
      <c r="F287" s="19">
        <f>'Базовые концовки'!F156</f>
        <v>0</v>
      </c>
      <c r="G287" s="19"/>
      <c r="H287" s="19"/>
      <c r="J287" s="8"/>
      <c r="N287" s="19"/>
      <c r="R287" s="19"/>
    </row>
    <row r="288" spans="2:18" ht="10.5" hidden="1">
      <c r="B288" s="9" t="s">
        <v>81</v>
      </c>
      <c r="D288" s="18"/>
      <c r="F288" s="19">
        <f>'Базовые концовки'!F157</f>
        <v>0</v>
      </c>
      <c r="G288" s="19"/>
      <c r="H288" s="19"/>
      <c r="J288" s="8"/>
      <c r="N288" s="19"/>
      <c r="R288" s="19"/>
    </row>
    <row r="289" spans="2:18" ht="10.5" hidden="1">
      <c r="B289" s="9" t="s">
        <v>102</v>
      </c>
      <c r="D289" s="18"/>
      <c r="F289" s="19">
        <f>'Базовые концовки'!F158</f>
        <v>0</v>
      </c>
      <c r="G289" s="19"/>
      <c r="H289" s="19"/>
      <c r="J289" s="8"/>
      <c r="N289" s="19"/>
      <c r="R289" s="19"/>
    </row>
    <row r="290" spans="2:18" ht="10.5" hidden="1">
      <c r="B290" s="9" t="s">
        <v>103</v>
      </c>
      <c r="D290" s="18"/>
      <c r="F290" s="19">
        <f>'Базовые концовки'!F159</f>
        <v>0</v>
      </c>
      <c r="G290" s="19">
        <f>'Базовые концовки'!G159</f>
        <v>0</v>
      </c>
      <c r="H290" s="19">
        <f>'Базовые концовки'!H159</f>
        <v>0</v>
      </c>
      <c r="J290" s="8">
        <f>'Базовые концовки'!J159</f>
        <v>0</v>
      </c>
      <c r="N290" s="19">
        <f>'Базовые концовки'!L159</f>
        <v>0</v>
      </c>
      <c r="R290" s="19">
        <f>'Базовые концовки'!M159</f>
        <v>0</v>
      </c>
    </row>
    <row r="291" spans="2:18" ht="10.5" hidden="1">
      <c r="B291" s="9" t="s">
        <v>79</v>
      </c>
      <c r="D291" s="18"/>
      <c r="F291" s="19">
        <f>'Базовые концовки'!F160</f>
        <v>0</v>
      </c>
      <c r="G291" s="19"/>
      <c r="H291" s="19"/>
      <c r="J291" s="8"/>
      <c r="N291" s="19"/>
      <c r="R291" s="19"/>
    </row>
    <row r="292" spans="2:18" ht="10.5" hidden="1">
      <c r="B292" s="9" t="s">
        <v>99</v>
      </c>
      <c r="D292" s="18"/>
      <c r="F292" s="19">
        <f>'Базовые концовки'!F161</f>
        <v>0</v>
      </c>
      <c r="G292" s="19"/>
      <c r="H292" s="19"/>
      <c r="J292" s="8"/>
      <c r="N292" s="19"/>
      <c r="R292" s="19"/>
    </row>
    <row r="293" spans="2:18" ht="10.5" hidden="1">
      <c r="B293" s="9" t="s">
        <v>81</v>
      </c>
      <c r="D293" s="18"/>
      <c r="F293" s="19">
        <f>'Базовые концовки'!F162</f>
        <v>0</v>
      </c>
      <c r="G293" s="19"/>
      <c r="H293" s="19"/>
      <c r="J293" s="8"/>
      <c r="N293" s="19"/>
      <c r="R293" s="19"/>
    </row>
    <row r="294" spans="2:18" ht="10.5" hidden="1">
      <c r="B294" s="9" t="s">
        <v>104</v>
      </c>
      <c r="D294" s="18"/>
      <c r="F294" s="19">
        <f>'Базовые концовки'!F163</f>
        <v>0</v>
      </c>
      <c r="G294" s="19"/>
      <c r="H294" s="19"/>
      <c r="J294" s="8"/>
      <c r="N294" s="19"/>
      <c r="R294" s="19"/>
    </row>
    <row r="295" spans="2:18" ht="10.5" hidden="1">
      <c r="B295" s="9" t="s">
        <v>105</v>
      </c>
      <c r="D295" s="18"/>
      <c r="F295" s="19">
        <f>'Базовые концовки'!F164</f>
        <v>0</v>
      </c>
      <c r="G295" s="19">
        <f>'Базовые концовки'!G164</f>
        <v>0</v>
      </c>
      <c r="H295" s="19">
        <f>'Базовые концовки'!H164</f>
        <v>0</v>
      </c>
      <c r="J295" s="8">
        <f>'Базовые концовки'!J164</f>
        <v>0</v>
      </c>
      <c r="N295" s="19">
        <f>'Базовые концовки'!L164</f>
        <v>0</v>
      </c>
      <c r="R295" s="19">
        <f>'Базовые концовки'!M164</f>
        <v>0</v>
      </c>
    </row>
    <row r="296" spans="2:18" ht="10.5" hidden="1">
      <c r="B296" s="9" t="s">
        <v>79</v>
      </c>
      <c r="D296" s="18"/>
      <c r="F296" s="19">
        <f>'Базовые концовки'!F165</f>
        <v>0</v>
      </c>
      <c r="G296" s="19"/>
      <c r="H296" s="19"/>
      <c r="J296" s="8"/>
      <c r="N296" s="19"/>
      <c r="R296" s="19"/>
    </row>
    <row r="297" spans="2:18" ht="10.5">
      <c r="B297" s="9" t="s">
        <v>128</v>
      </c>
      <c r="E297" s="18"/>
      <c r="F297" s="19" t="e">
        <f>'Базовые концовки'!F166</f>
        <v>#NAME?</v>
      </c>
      <c r="G297" s="19">
        <f>'Базовые концовки'!G166</f>
        <v>0</v>
      </c>
      <c r="H297" s="19">
        <f>'Базовые концовки'!H166</f>
        <v>0</v>
      </c>
      <c r="J297" s="8">
        <f>'Базовые концовки'!J166</f>
        <v>0</v>
      </c>
      <c r="N297" s="19">
        <f>'Базовые концовки'!L166</f>
        <v>0</v>
      </c>
      <c r="R297" s="19">
        <f>'Базовые концовки'!M166</f>
        <v>0</v>
      </c>
    </row>
    <row r="298" spans="2:18" ht="10.5" hidden="1">
      <c r="B298" s="9" t="s">
        <v>107</v>
      </c>
      <c r="D298" s="18"/>
      <c r="F298" s="19">
        <f>'Базовые концовки'!F167</f>
        <v>0</v>
      </c>
      <c r="G298" s="19"/>
      <c r="H298" s="19"/>
      <c r="J298" s="8"/>
      <c r="N298" s="19"/>
      <c r="R298" s="19"/>
    </row>
    <row r="299" spans="2:18" ht="10.5">
      <c r="B299" s="9" t="s">
        <v>108</v>
      </c>
      <c r="E299" s="18"/>
      <c r="F299" s="19">
        <f>'Базовые концовки'!F168</f>
        <v>29.67</v>
      </c>
      <c r="G299" s="19"/>
      <c r="H299" s="19"/>
      <c r="J299" s="8"/>
      <c r="N299" s="19"/>
      <c r="R299" s="19"/>
    </row>
    <row r="300" spans="2:18" ht="10.5">
      <c r="B300" s="9" t="s">
        <v>109</v>
      </c>
      <c r="E300" s="18"/>
      <c r="F300" s="19">
        <f>'Базовые концовки'!F169</f>
        <v>17.98</v>
      </c>
      <c r="G300" s="19"/>
      <c r="H300" s="19"/>
      <c r="J300" s="8"/>
      <c r="N300" s="19"/>
      <c r="R300" s="19"/>
    </row>
    <row r="301" spans="2:18" ht="10.5" hidden="1">
      <c r="B301" s="9" t="s">
        <v>110</v>
      </c>
      <c r="D301" s="18"/>
      <c r="F301" s="19">
        <f>'Базовые концовки'!F170</f>
        <v>0</v>
      </c>
      <c r="G301" s="19"/>
      <c r="H301" s="19"/>
      <c r="J301" s="8"/>
      <c r="N301" s="19">
        <f>'Базовые концовки'!L170</f>
        <v>0</v>
      </c>
      <c r="R301" s="19"/>
    </row>
    <row r="302" spans="2:18" ht="10.5" hidden="1">
      <c r="B302" s="9" t="s">
        <v>111</v>
      </c>
      <c r="E302" s="18"/>
      <c r="F302" s="19">
        <f>'Базовые концовки'!F171</f>
        <v>24.32</v>
      </c>
      <c r="G302" s="19"/>
      <c r="H302" s="19"/>
      <c r="J302" s="8"/>
      <c r="N302" s="19"/>
      <c r="R302" s="19"/>
    </row>
    <row r="303" spans="2:18" ht="10.5" hidden="1">
      <c r="B303" s="9" t="s">
        <v>112</v>
      </c>
      <c r="E303" s="18"/>
      <c r="F303" s="19">
        <f>'Базовые концовки'!F172</f>
        <v>5.65</v>
      </c>
      <c r="G303" s="19"/>
      <c r="H303" s="19"/>
      <c r="J303" s="8"/>
      <c r="N303" s="19"/>
      <c r="R303" s="19"/>
    </row>
    <row r="304" spans="2:18" ht="10.5" hidden="1">
      <c r="B304" s="9" t="s">
        <v>113</v>
      </c>
      <c r="E304" s="18"/>
      <c r="F304" s="19">
        <f>'Базовые концовки'!F173</f>
        <v>29.97</v>
      </c>
      <c r="G304" s="19"/>
      <c r="H304" s="19"/>
      <c r="J304" s="8"/>
      <c r="N304" s="19"/>
      <c r="R304" s="19"/>
    </row>
    <row r="305" spans="2:18" ht="10.5" hidden="1">
      <c r="B305" s="9" t="s">
        <v>114</v>
      </c>
      <c r="E305" s="18"/>
      <c r="F305" s="19"/>
      <c r="G305" s="19"/>
      <c r="H305" s="19"/>
      <c r="J305" s="8" t="e">
        <f>'Базовые концовки'!J174</f>
        <v>#NAME?</v>
      </c>
      <c r="N305" s="19"/>
      <c r="R305" s="19"/>
    </row>
    <row r="306" spans="2:18" ht="10.5" hidden="1">
      <c r="B306" s="9" t="s">
        <v>115</v>
      </c>
      <c r="E306" s="18"/>
      <c r="F306" s="19"/>
      <c r="G306" s="19"/>
      <c r="H306" s="19"/>
      <c r="J306" s="8" t="e">
        <f>'Базовые концовки'!J175</f>
        <v>#NAME?</v>
      </c>
      <c r="N306" s="19"/>
      <c r="R306" s="19"/>
    </row>
    <row r="307" spans="2:18" ht="10.5" hidden="1">
      <c r="B307" s="9" t="s">
        <v>116</v>
      </c>
      <c r="E307" s="18"/>
      <c r="F307" s="19"/>
      <c r="G307" s="19"/>
      <c r="H307" s="19"/>
      <c r="J307" s="8" t="e">
        <f>'Базовые концовки'!J176</f>
        <v>#NAME?</v>
      </c>
      <c r="N307" s="19"/>
      <c r="R307" s="19"/>
    </row>
    <row r="308" spans="2:18" ht="10.5">
      <c r="B308" s="9" t="s">
        <v>332</v>
      </c>
      <c r="E308" s="18">
        <v>3.75</v>
      </c>
      <c r="F308" s="19" t="e">
        <f>F297*E308</f>
        <v>#NAME?</v>
      </c>
      <c r="G308" s="19"/>
      <c r="H308" s="19"/>
      <c r="J308" s="8"/>
      <c r="N308" s="19"/>
      <c r="R308" s="19"/>
    </row>
    <row r="309" spans="2:18" ht="10.5">
      <c r="B309" s="9" t="s">
        <v>118</v>
      </c>
      <c r="E309" s="18">
        <v>18</v>
      </c>
      <c r="F309" s="19" t="e">
        <f>F308*0.18</f>
        <v>#NAME?</v>
      </c>
      <c r="G309" s="19"/>
      <c r="H309" s="19"/>
      <c r="J309" s="8"/>
      <c r="N309" s="19"/>
      <c r="R309" s="19"/>
    </row>
    <row r="310" spans="2:18" ht="10.5">
      <c r="B310" s="9" t="s">
        <v>129</v>
      </c>
      <c r="E310" s="18"/>
      <c r="F310" s="19" t="e">
        <f>F308+F309</f>
        <v>#NAME?</v>
      </c>
      <c r="G310" s="19"/>
      <c r="H310" s="19"/>
      <c r="J310" s="8"/>
      <c r="N310" s="19"/>
      <c r="R310" s="19"/>
    </row>
    <row r="312" spans="2:18" ht="10.5">
      <c r="B312" s="9" t="s">
        <v>130</v>
      </c>
      <c r="E312" s="53"/>
      <c r="F312" s="52">
        <f>'Базовые концовки'!F181</f>
        <v>2176.94</v>
      </c>
      <c r="G312" s="52">
        <f>'Базовые концовки'!G181</f>
        <v>356.88</v>
      </c>
      <c r="H312" s="20">
        <f>'Базовые концовки'!H181</f>
        <v>42.6</v>
      </c>
      <c r="I312" s="37"/>
      <c r="J312" s="21" t="e">
        <f>'Базовые концовки'!J181</f>
        <v>#NAME?</v>
      </c>
      <c r="N312" s="52">
        <f>'Базовые концовки'!L181</f>
        <v>1777.46</v>
      </c>
      <c r="R312" s="52">
        <f>'Базовые концовки'!M181</f>
        <v>0</v>
      </c>
    </row>
    <row r="313" spans="5:18" ht="10.5">
      <c r="E313" s="53"/>
      <c r="F313" s="52"/>
      <c r="G313" s="52"/>
      <c r="H313" s="19">
        <f>'Базовые концовки'!I181</f>
        <v>6.3</v>
      </c>
      <c r="I313" s="37"/>
      <c r="J313" s="8" t="e">
        <f>'Базовые концовки'!K181</f>
        <v>#NAME?</v>
      </c>
      <c r="N313" s="52"/>
      <c r="R313" s="52"/>
    </row>
    <row r="314" spans="2:18" ht="10.5" hidden="1">
      <c r="B314" s="9" t="s">
        <v>64</v>
      </c>
      <c r="D314" s="18"/>
      <c r="F314" s="19">
        <f>'Базовые концовки'!F182</f>
        <v>0</v>
      </c>
      <c r="G314" s="19">
        <f>'Базовые концовки'!G182</f>
        <v>0</v>
      </c>
      <c r="H314" s="19">
        <f>'Базовые концовки'!H182</f>
        <v>0</v>
      </c>
      <c r="J314" s="8">
        <f>'Базовые концовки'!J182</f>
        <v>0</v>
      </c>
      <c r="N314" s="19">
        <f>'Базовые концовки'!L182</f>
        <v>0</v>
      </c>
      <c r="R314" s="19">
        <f>'Базовые концовки'!M182</f>
        <v>0</v>
      </c>
    </row>
    <row r="315" spans="2:18" ht="10.5" hidden="1">
      <c r="B315" s="9" t="s">
        <v>65</v>
      </c>
      <c r="D315" s="18"/>
      <c r="F315" s="19" t="e">
        <f>'Базовые концовки'!F183</f>
        <v>#NAME?</v>
      </c>
      <c r="G315" s="19"/>
      <c r="H315" s="19"/>
      <c r="J315" s="8"/>
      <c r="N315" s="19"/>
      <c r="R315" s="19"/>
    </row>
    <row r="316" spans="2:18" ht="10.5" hidden="1">
      <c r="B316" s="9" t="s">
        <v>66</v>
      </c>
      <c r="D316" s="18"/>
      <c r="F316" s="19" t="e">
        <f>'Базовые концовки'!F184</f>
        <v>#NAME?</v>
      </c>
      <c r="G316" s="19"/>
      <c r="H316" s="19"/>
      <c r="J316" s="8"/>
      <c r="N316" s="19"/>
      <c r="R316" s="19"/>
    </row>
    <row r="317" spans="2:18" ht="10.5" hidden="1">
      <c r="B317" s="9" t="s">
        <v>67</v>
      </c>
      <c r="D317" s="18"/>
      <c r="F317" s="19" t="e">
        <f>'Базовые концовки'!F185</f>
        <v>#NAME?</v>
      </c>
      <c r="G317" s="19"/>
      <c r="H317" s="19"/>
      <c r="J317" s="8"/>
      <c r="N317" s="19"/>
      <c r="R317" s="19"/>
    </row>
    <row r="318" spans="2:18" ht="10.5" hidden="1">
      <c r="B318" s="9" t="s">
        <v>68</v>
      </c>
      <c r="D318" s="18"/>
      <c r="F318" s="19" t="e">
        <f>'Базовые концовки'!F186</f>
        <v>#NAME?</v>
      </c>
      <c r="G318" s="19"/>
      <c r="H318" s="19"/>
      <c r="J318" s="8"/>
      <c r="N318" s="19"/>
      <c r="R318" s="19"/>
    </row>
    <row r="319" spans="2:18" ht="10.5" hidden="1">
      <c r="B319" s="9" t="s">
        <v>69</v>
      </c>
      <c r="D319" s="18"/>
      <c r="F319" s="19" t="e">
        <f>'Базовые концовки'!F187</f>
        <v>#NAME?</v>
      </c>
      <c r="G319" s="19"/>
      <c r="H319" s="19"/>
      <c r="J319" s="8"/>
      <c r="N319" s="19"/>
      <c r="R319" s="19"/>
    </row>
    <row r="320" spans="2:18" ht="10.5" hidden="1">
      <c r="B320" s="9" t="s">
        <v>70</v>
      </c>
      <c r="D320" s="18"/>
      <c r="F320" s="19" t="e">
        <f>'Базовые концовки'!F188</f>
        <v>#NAME?</v>
      </c>
      <c r="G320" s="19"/>
      <c r="H320" s="19"/>
      <c r="J320" s="8"/>
      <c r="N320" s="19"/>
      <c r="R320" s="19"/>
    </row>
    <row r="321" spans="2:18" ht="10.5" hidden="1">
      <c r="B321" s="9" t="s">
        <v>71</v>
      </c>
      <c r="D321" s="18"/>
      <c r="F321" s="19" t="e">
        <f>'Базовые концовки'!F189</f>
        <v>#NAME?</v>
      </c>
      <c r="G321" s="19"/>
      <c r="H321" s="19"/>
      <c r="J321" s="8"/>
      <c r="N321" s="19"/>
      <c r="R321" s="19"/>
    </row>
    <row r="322" spans="2:18" ht="10.5" hidden="1">
      <c r="B322" s="9" t="s">
        <v>72</v>
      </c>
      <c r="D322" s="18"/>
      <c r="F322" s="19" t="e">
        <f>'Базовые концовки'!F190</f>
        <v>#NAME?</v>
      </c>
      <c r="G322" s="19"/>
      <c r="H322" s="19"/>
      <c r="J322" s="8"/>
      <c r="N322" s="19"/>
      <c r="R322" s="19"/>
    </row>
    <row r="323" spans="2:18" ht="10.5" hidden="1">
      <c r="B323" s="9" t="s">
        <v>73</v>
      </c>
      <c r="D323" s="18"/>
      <c r="F323" s="19" t="e">
        <f>'Базовые концовки'!F191</f>
        <v>#NAME?</v>
      </c>
      <c r="G323" s="19"/>
      <c r="H323" s="19"/>
      <c r="J323" s="8"/>
      <c r="N323" s="19"/>
      <c r="R323" s="19"/>
    </row>
    <row r="324" spans="2:18" ht="10.5" hidden="1">
      <c r="B324" s="9" t="s">
        <v>74</v>
      </c>
      <c r="D324" s="18"/>
      <c r="F324" s="19">
        <f>'Базовые концовки'!F192</f>
        <v>0</v>
      </c>
      <c r="G324" s="19">
        <f>'Базовые концовки'!G192</f>
        <v>0</v>
      </c>
      <c r="H324" s="19">
        <f>'Базовые концовки'!H192</f>
        <v>0</v>
      </c>
      <c r="J324" s="8">
        <f>'Базовые концовки'!J192</f>
        <v>0</v>
      </c>
      <c r="N324" s="19">
        <f>'Базовые концовки'!L192</f>
        <v>0</v>
      </c>
      <c r="R324" s="19">
        <f>'Базовые концовки'!M192</f>
        <v>0</v>
      </c>
    </row>
    <row r="325" spans="2:18" ht="10.5" hidden="1">
      <c r="B325" s="9" t="s">
        <v>75</v>
      </c>
      <c r="D325" s="18"/>
      <c r="F325" s="19"/>
      <c r="G325" s="19"/>
      <c r="H325" s="19"/>
      <c r="J325" s="8"/>
      <c r="N325" s="19"/>
      <c r="R325" s="19"/>
    </row>
    <row r="326" spans="2:18" ht="10.5" hidden="1">
      <c r="B326" s="9" t="s">
        <v>76</v>
      </c>
      <c r="D326" s="18"/>
      <c r="F326" s="19"/>
      <c r="G326" s="19">
        <f>'Базовые концовки'!G194</f>
        <v>0</v>
      </c>
      <c r="H326" s="19"/>
      <c r="J326" s="8"/>
      <c r="N326" s="19"/>
      <c r="R326" s="19"/>
    </row>
    <row r="327" spans="2:18" ht="10.5" hidden="1">
      <c r="B327" s="9" t="s">
        <v>77</v>
      </c>
      <c r="D327" s="18"/>
      <c r="F327" s="19">
        <f>'Базовые концовки'!F195</f>
        <v>0</v>
      </c>
      <c r="G327" s="19"/>
      <c r="H327" s="19"/>
      <c r="J327" s="8"/>
      <c r="N327" s="19"/>
      <c r="R327" s="19"/>
    </row>
    <row r="328" spans="2:18" ht="10.5" hidden="1">
      <c r="B328" s="9" t="s">
        <v>78</v>
      </c>
      <c r="D328" s="18"/>
      <c r="F328" s="19" t="e">
        <f>'Базовые концовки'!F196</f>
        <v>#NAME?</v>
      </c>
      <c r="G328" s="19"/>
      <c r="H328" s="19"/>
      <c r="J328" s="8"/>
      <c r="N328" s="19"/>
      <c r="R328" s="19"/>
    </row>
    <row r="329" spans="2:18" ht="10.5" hidden="1">
      <c r="B329" s="9" t="s">
        <v>79</v>
      </c>
      <c r="D329" s="18"/>
      <c r="F329" s="19">
        <f>'Базовые концовки'!F197</f>
        <v>0</v>
      </c>
      <c r="G329" s="19"/>
      <c r="H329" s="19"/>
      <c r="J329" s="8"/>
      <c r="N329" s="19"/>
      <c r="R329" s="19"/>
    </row>
    <row r="330" spans="2:18" ht="10.5" hidden="1">
      <c r="B330" s="9" t="s">
        <v>80</v>
      </c>
      <c r="D330" s="18"/>
      <c r="F330" s="19">
        <f>'Базовые концовки'!F198</f>
        <v>0</v>
      </c>
      <c r="G330" s="19"/>
      <c r="H330" s="19"/>
      <c r="J330" s="8"/>
      <c r="N330" s="19"/>
      <c r="R330" s="19"/>
    </row>
    <row r="331" spans="2:18" ht="10.5" hidden="1">
      <c r="B331" s="9" t="s">
        <v>81</v>
      </c>
      <c r="D331" s="18"/>
      <c r="F331" s="19">
        <f>'Базовые концовки'!F199</f>
        <v>0</v>
      </c>
      <c r="G331" s="19"/>
      <c r="H331" s="19"/>
      <c r="J331" s="8"/>
      <c r="N331" s="19"/>
      <c r="R331" s="19"/>
    </row>
    <row r="332" spans="2:18" ht="10.5" hidden="1">
      <c r="B332" s="9" t="s">
        <v>72</v>
      </c>
      <c r="D332" s="18"/>
      <c r="F332" s="19" t="e">
        <f>'Базовые концовки'!F200</f>
        <v>#NAME?</v>
      </c>
      <c r="G332" s="19"/>
      <c r="H332" s="19"/>
      <c r="J332" s="8"/>
      <c r="N332" s="19"/>
      <c r="R332" s="19"/>
    </row>
    <row r="333" spans="2:18" ht="10.5" hidden="1">
      <c r="B333" s="9" t="s">
        <v>82</v>
      </c>
      <c r="D333" s="18"/>
      <c r="F333" s="19">
        <f>'Базовые концовки'!F201</f>
        <v>0</v>
      </c>
      <c r="G333" s="19"/>
      <c r="H333" s="19"/>
      <c r="J333" s="8"/>
      <c r="N333" s="19"/>
      <c r="R333" s="19"/>
    </row>
    <row r="334" spans="2:18" ht="10.5">
      <c r="B334" s="9" t="s">
        <v>83</v>
      </c>
      <c r="E334" s="53"/>
      <c r="F334" s="52">
        <f>'Базовые концовки'!F202</f>
        <v>68.68</v>
      </c>
      <c r="G334" s="52">
        <f>'Базовые концовки'!G202</f>
        <v>24.32</v>
      </c>
      <c r="H334" s="20">
        <f>'Базовые концовки'!H202</f>
        <v>35.23</v>
      </c>
      <c r="I334" s="37"/>
      <c r="J334" s="21" t="e">
        <f>'Базовые концовки'!J202</f>
        <v>#NAME?</v>
      </c>
      <c r="N334" s="52">
        <f>'Базовые концовки'!L202</f>
        <v>9.13</v>
      </c>
      <c r="R334" s="52">
        <f>'Базовые концовки'!M202</f>
        <v>0</v>
      </c>
    </row>
    <row r="335" spans="5:18" ht="10.5">
      <c r="E335" s="53"/>
      <c r="F335" s="52"/>
      <c r="G335" s="52"/>
      <c r="H335" s="19">
        <f>'Базовые концовки'!I202</f>
        <v>5.65</v>
      </c>
      <c r="I335" s="37"/>
      <c r="J335" s="8" t="e">
        <f>'Базовые концовки'!K202</f>
        <v>#NAME?</v>
      </c>
      <c r="N335" s="52"/>
      <c r="R335" s="52"/>
    </row>
    <row r="336" spans="2:18" ht="10.5" hidden="1">
      <c r="B336" s="9" t="s">
        <v>75</v>
      </c>
      <c r="D336" s="18"/>
      <c r="F336" s="19"/>
      <c r="G336" s="19"/>
      <c r="H336" s="19"/>
      <c r="J336" s="8"/>
      <c r="N336" s="19"/>
      <c r="R336" s="19"/>
    </row>
    <row r="337" spans="2:18" ht="10.5" hidden="1">
      <c r="B337" s="9" t="s">
        <v>84</v>
      </c>
      <c r="E337" s="18"/>
      <c r="F337" s="19" t="e">
        <f>'Базовые концовки'!F204</f>
        <v>#NAME?</v>
      </c>
      <c r="G337" s="19"/>
      <c r="H337" s="19"/>
      <c r="J337" s="8"/>
      <c r="N337" s="19"/>
      <c r="R337" s="19"/>
    </row>
    <row r="338" spans="2:18" ht="10.5" hidden="1">
      <c r="B338" s="9" t="s">
        <v>79</v>
      </c>
      <c r="D338" s="18"/>
      <c r="F338" s="19">
        <f>'Базовые концовки'!F205</f>
        <v>0</v>
      </c>
      <c r="G338" s="19"/>
      <c r="H338" s="19"/>
      <c r="J338" s="8"/>
      <c r="N338" s="19"/>
      <c r="R338" s="19"/>
    </row>
    <row r="339" spans="2:18" ht="10.5">
      <c r="B339" s="9" t="s">
        <v>131</v>
      </c>
      <c r="E339" s="18"/>
      <c r="F339" s="19">
        <f>'Базовые концовки'!F206</f>
        <v>29.67</v>
      </c>
      <c r="G339" s="19"/>
      <c r="H339" s="19"/>
      <c r="J339" s="8"/>
      <c r="N339" s="19"/>
      <c r="R339" s="19"/>
    </row>
    <row r="340" spans="2:18" ht="10.5">
      <c r="B340" s="9" t="s">
        <v>132</v>
      </c>
      <c r="E340" s="18"/>
      <c r="F340" s="19">
        <f>'Базовые концовки'!F207</f>
        <v>17.98</v>
      </c>
      <c r="G340" s="19"/>
      <c r="H340" s="19"/>
      <c r="J340" s="8"/>
      <c r="N340" s="19"/>
      <c r="R340" s="19"/>
    </row>
    <row r="341" spans="2:18" ht="10.5">
      <c r="B341" s="9" t="s">
        <v>85</v>
      </c>
      <c r="E341" s="18"/>
      <c r="F341" s="19">
        <f>'Базовые концовки'!F208</f>
        <v>116.33</v>
      </c>
      <c r="G341" s="19"/>
      <c r="H341" s="19"/>
      <c r="J341" s="8"/>
      <c r="N341" s="19"/>
      <c r="R341" s="19"/>
    </row>
    <row r="342" spans="2:18" ht="10.5" hidden="1">
      <c r="B342" s="9" t="s">
        <v>86</v>
      </c>
      <c r="D342" s="18"/>
      <c r="F342" s="19">
        <f>'Базовые концовки'!F209</f>
        <v>0</v>
      </c>
      <c r="G342" s="19">
        <f>'Базовые концовки'!G209</f>
        <v>0</v>
      </c>
      <c r="H342" s="19">
        <f>'Базовые концовки'!H209</f>
        <v>0</v>
      </c>
      <c r="J342" s="8">
        <f>'Базовые концовки'!J209</f>
        <v>0</v>
      </c>
      <c r="N342" s="19">
        <f>'Базовые концовки'!L209</f>
        <v>0</v>
      </c>
      <c r="R342" s="19">
        <f>'Базовые концовки'!M209</f>
        <v>0</v>
      </c>
    </row>
    <row r="343" spans="2:18" ht="10.5" hidden="1">
      <c r="B343" s="9" t="s">
        <v>79</v>
      </c>
      <c r="D343" s="18"/>
      <c r="F343" s="19">
        <f>'Базовые концовки'!F210</f>
        <v>0</v>
      </c>
      <c r="G343" s="19"/>
      <c r="H343" s="19"/>
      <c r="J343" s="8"/>
      <c r="N343" s="19"/>
      <c r="R343" s="19"/>
    </row>
    <row r="344" spans="2:18" ht="10.5" hidden="1">
      <c r="B344" s="9" t="s">
        <v>80</v>
      </c>
      <c r="D344" s="18"/>
      <c r="F344" s="19">
        <f>'Базовые концовки'!F211</f>
        <v>0</v>
      </c>
      <c r="G344" s="19"/>
      <c r="H344" s="19"/>
      <c r="J344" s="8"/>
      <c r="N344" s="19"/>
      <c r="R344" s="19"/>
    </row>
    <row r="345" spans="2:18" ht="10.5" hidden="1">
      <c r="B345" s="9" t="s">
        <v>81</v>
      </c>
      <c r="D345" s="18"/>
      <c r="F345" s="19">
        <f>'Базовые концовки'!F212</f>
        <v>0</v>
      </c>
      <c r="G345" s="19"/>
      <c r="H345" s="19"/>
      <c r="J345" s="8"/>
      <c r="N345" s="19"/>
      <c r="R345" s="19"/>
    </row>
    <row r="346" spans="2:18" ht="10.5" hidden="1">
      <c r="B346" s="9" t="s">
        <v>87</v>
      </c>
      <c r="D346" s="18"/>
      <c r="F346" s="19">
        <f>'Базовые концовки'!F213</f>
        <v>0</v>
      </c>
      <c r="G346" s="19"/>
      <c r="H346" s="19"/>
      <c r="J346" s="8"/>
      <c r="N346" s="19"/>
      <c r="R346" s="19"/>
    </row>
    <row r="347" spans="2:18" ht="10.5">
      <c r="B347" s="9" t="s">
        <v>88</v>
      </c>
      <c r="E347" s="53"/>
      <c r="F347" s="52">
        <f>'Базовые концовки'!F214</f>
        <v>2108.26</v>
      </c>
      <c r="G347" s="52">
        <f>'Базовые концовки'!G214</f>
        <v>332.56</v>
      </c>
      <c r="H347" s="20">
        <f>'Базовые концовки'!H214</f>
        <v>7.37</v>
      </c>
      <c r="I347" s="37"/>
      <c r="J347" s="21" t="e">
        <f>'Базовые концовки'!J214</f>
        <v>#NAME?</v>
      </c>
      <c r="N347" s="52">
        <f>'Базовые концовки'!L214</f>
        <v>1768.33</v>
      </c>
      <c r="R347" s="52">
        <f>'Базовые концовки'!M214</f>
        <v>0</v>
      </c>
    </row>
    <row r="348" spans="5:18" ht="10.5">
      <c r="E348" s="53"/>
      <c r="F348" s="52"/>
      <c r="G348" s="52"/>
      <c r="H348" s="19">
        <f>'Базовые концовки'!I214</f>
        <v>0.65</v>
      </c>
      <c r="I348" s="37"/>
      <c r="J348" s="8" t="e">
        <f>'Базовые концовки'!K214</f>
        <v>#NAME?</v>
      </c>
      <c r="N348" s="52"/>
      <c r="R348" s="52"/>
    </row>
    <row r="349" spans="2:18" ht="10.5" hidden="1">
      <c r="B349" s="9" t="s">
        <v>75</v>
      </c>
      <c r="D349" s="18"/>
      <c r="F349" s="19"/>
      <c r="G349" s="19"/>
      <c r="H349" s="19"/>
      <c r="J349" s="8"/>
      <c r="N349" s="19"/>
      <c r="R349" s="19"/>
    </row>
    <row r="350" spans="2:18" ht="10.5" hidden="1">
      <c r="B350" s="9" t="s">
        <v>89</v>
      </c>
      <c r="D350" s="18"/>
      <c r="F350" s="19">
        <f>'Базовые концовки'!F216</f>
        <v>0</v>
      </c>
      <c r="G350" s="19"/>
      <c r="H350" s="19"/>
      <c r="J350" s="8"/>
      <c r="N350" s="19"/>
      <c r="R350" s="19"/>
    </row>
    <row r="351" spans="2:18" ht="10.5" hidden="1">
      <c r="B351" s="9" t="s">
        <v>79</v>
      </c>
      <c r="D351" s="18"/>
      <c r="F351" s="19">
        <f>'Базовые концовки'!F217</f>
        <v>0</v>
      </c>
      <c r="G351" s="19"/>
      <c r="H351" s="19"/>
      <c r="J351" s="8"/>
      <c r="N351" s="19"/>
      <c r="R351" s="19"/>
    </row>
    <row r="352" spans="2:18" ht="10.5">
      <c r="B352" s="9" t="s">
        <v>90</v>
      </c>
      <c r="E352" s="18"/>
      <c r="F352" s="19">
        <f>'Базовые концовки'!F218</f>
        <v>343.21</v>
      </c>
      <c r="G352" s="19"/>
      <c r="H352" s="19"/>
      <c r="J352" s="8"/>
      <c r="N352" s="19"/>
      <c r="R352" s="19"/>
    </row>
    <row r="353" spans="2:18" ht="10.5">
      <c r="B353" s="9" t="s">
        <v>91</v>
      </c>
      <c r="E353" s="18"/>
      <c r="F353" s="19">
        <f>'Базовые концовки'!F219</f>
        <v>199.92</v>
      </c>
      <c r="G353" s="19"/>
      <c r="H353" s="19"/>
      <c r="J353" s="8"/>
      <c r="N353" s="19"/>
      <c r="R353" s="19"/>
    </row>
    <row r="354" spans="2:18" ht="10.5" hidden="1">
      <c r="B354" s="9" t="s">
        <v>72</v>
      </c>
      <c r="D354" s="18"/>
      <c r="F354" s="19" t="e">
        <f>'Базовые концовки'!F220</f>
        <v>#NAME?</v>
      </c>
      <c r="G354" s="19"/>
      <c r="H354" s="19"/>
      <c r="J354" s="8"/>
      <c r="N354" s="19"/>
      <c r="R354" s="19"/>
    </row>
    <row r="355" spans="2:18" ht="10.5">
      <c r="B355" s="9" t="s">
        <v>92</v>
      </c>
      <c r="E355" s="18"/>
      <c r="F355" s="19">
        <f>'Базовые концовки'!F221</f>
        <v>2651.39</v>
      </c>
      <c r="G355" s="19"/>
      <c r="H355" s="19"/>
      <c r="J355" s="8"/>
      <c r="N355" s="19"/>
      <c r="R355" s="19"/>
    </row>
    <row r="356" spans="2:18" ht="10.5" hidden="1">
      <c r="B356" s="9" t="s">
        <v>93</v>
      </c>
      <c r="D356" s="18"/>
      <c r="F356" s="19">
        <f>'Базовые концовки'!F222</f>
        <v>0</v>
      </c>
      <c r="G356" s="19">
        <f>'Базовые концовки'!G222</f>
        <v>0</v>
      </c>
      <c r="H356" s="19">
        <f>'Базовые концовки'!H222</f>
        <v>0</v>
      </c>
      <c r="J356" s="8">
        <f>'Базовые концовки'!J222</f>
        <v>0</v>
      </c>
      <c r="N356" s="19">
        <f>'Базовые концовки'!L222</f>
        <v>0</v>
      </c>
      <c r="R356" s="19">
        <f>'Базовые концовки'!M222</f>
        <v>0</v>
      </c>
    </row>
    <row r="357" spans="2:18" ht="10.5" hidden="1">
      <c r="B357" s="9" t="s">
        <v>79</v>
      </c>
      <c r="D357" s="18"/>
      <c r="F357" s="19">
        <f>'Базовые концовки'!F223</f>
        <v>0</v>
      </c>
      <c r="G357" s="19"/>
      <c r="H357" s="19"/>
      <c r="J357" s="8"/>
      <c r="N357" s="19"/>
      <c r="R357" s="19"/>
    </row>
    <row r="358" spans="2:18" ht="10.5" hidden="1">
      <c r="B358" s="9" t="s">
        <v>80</v>
      </c>
      <c r="D358" s="18"/>
      <c r="F358" s="19">
        <f>'Базовые концовки'!F224</f>
        <v>0</v>
      </c>
      <c r="G358" s="19"/>
      <c r="H358" s="19"/>
      <c r="J358" s="8"/>
      <c r="N358" s="19"/>
      <c r="R358" s="19"/>
    </row>
    <row r="359" spans="2:18" ht="10.5" hidden="1">
      <c r="B359" s="9" t="s">
        <v>81</v>
      </c>
      <c r="D359" s="18"/>
      <c r="F359" s="19">
        <f>'Базовые концовки'!F225</f>
        <v>0</v>
      </c>
      <c r="G359" s="19"/>
      <c r="H359" s="19"/>
      <c r="J359" s="8"/>
      <c r="N359" s="19"/>
      <c r="R359" s="19"/>
    </row>
    <row r="360" spans="2:18" ht="10.5" hidden="1">
      <c r="B360" s="9" t="s">
        <v>94</v>
      </c>
      <c r="D360" s="18"/>
      <c r="F360" s="19">
        <f>'Базовые концовки'!F226</f>
        <v>0</v>
      </c>
      <c r="G360" s="19"/>
      <c r="H360" s="19"/>
      <c r="J360" s="8"/>
      <c r="N360" s="19"/>
      <c r="R360" s="19"/>
    </row>
    <row r="361" spans="2:18" ht="10.5" hidden="1">
      <c r="B361" s="9" t="s">
        <v>95</v>
      </c>
      <c r="D361" s="18"/>
      <c r="F361" s="19">
        <f>'Базовые концовки'!F227</f>
        <v>0</v>
      </c>
      <c r="G361" s="19">
        <f>'Базовые концовки'!G227</f>
        <v>0</v>
      </c>
      <c r="H361" s="19">
        <f>'Базовые концовки'!H227</f>
        <v>0</v>
      </c>
      <c r="J361" s="8">
        <f>'Базовые концовки'!J227</f>
        <v>0</v>
      </c>
      <c r="N361" s="19">
        <f>'Базовые концовки'!L227</f>
        <v>0</v>
      </c>
      <c r="R361" s="19">
        <f>'Базовые концовки'!M227</f>
        <v>0</v>
      </c>
    </row>
    <row r="362" spans="2:18" ht="10.5" hidden="1">
      <c r="B362" s="9" t="s">
        <v>79</v>
      </c>
      <c r="D362" s="18"/>
      <c r="F362" s="19">
        <f>'Базовые концовки'!F228</f>
        <v>0</v>
      </c>
      <c r="G362" s="19"/>
      <c r="H362" s="19"/>
      <c r="J362" s="8"/>
      <c r="N362" s="19"/>
      <c r="R362" s="19"/>
    </row>
    <row r="363" spans="2:18" ht="10.5" hidden="1">
      <c r="B363" s="9" t="s">
        <v>80</v>
      </c>
      <c r="D363" s="18"/>
      <c r="F363" s="19">
        <f>'Базовые концовки'!F229</f>
        <v>0</v>
      </c>
      <c r="G363" s="19"/>
      <c r="H363" s="19"/>
      <c r="J363" s="8"/>
      <c r="N363" s="19"/>
      <c r="R363" s="19"/>
    </row>
    <row r="364" spans="2:18" ht="10.5" hidden="1">
      <c r="B364" s="9" t="s">
        <v>81</v>
      </c>
      <c r="D364" s="18"/>
      <c r="F364" s="19">
        <f>'Базовые концовки'!F230</f>
        <v>0</v>
      </c>
      <c r="G364" s="19"/>
      <c r="H364" s="19"/>
      <c r="J364" s="8"/>
      <c r="N364" s="19"/>
      <c r="R364" s="19"/>
    </row>
    <row r="365" spans="2:18" ht="10.5" hidden="1">
      <c r="B365" s="9" t="s">
        <v>96</v>
      </c>
      <c r="D365" s="18"/>
      <c r="F365" s="19">
        <f>'Базовые концовки'!F231</f>
        <v>0</v>
      </c>
      <c r="G365" s="19"/>
      <c r="H365" s="19"/>
      <c r="J365" s="8"/>
      <c r="N365" s="19"/>
      <c r="R365" s="19"/>
    </row>
    <row r="366" spans="2:18" ht="10.5" hidden="1">
      <c r="B366" s="9" t="s">
        <v>97</v>
      </c>
      <c r="D366" s="18"/>
      <c r="F366" s="19">
        <f>'Базовые концовки'!F232</f>
        <v>0</v>
      </c>
      <c r="G366" s="19">
        <f>'Базовые концовки'!G232</f>
        <v>0</v>
      </c>
      <c r="H366" s="19">
        <f>'Базовые концовки'!H232</f>
        <v>0</v>
      </c>
      <c r="J366" s="8">
        <f>'Базовые концовки'!J232</f>
        <v>0</v>
      </c>
      <c r="N366" s="19">
        <f>'Базовые концовки'!L232</f>
        <v>0</v>
      </c>
      <c r="R366" s="19">
        <f>'Базовые концовки'!M232</f>
        <v>0</v>
      </c>
    </row>
    <row r="367" spans="2:18" ht="10.5" hidden="1">
      <c r="B367" s="9" t="s">
        <v>75</v>
      </c>
      <c r="D367" s="18"/>
      <c r="F367" s="19"/>
      <c r="G367" s="19"/>
      <c r="H367" s="19"/>
      <c r="J367" s="8"/>
      <c r="N367" s="19"/>
      <c r="R367" s="19"/>
    </row>
    <row r="368" spans="2:18" ht="10.5" hidden="1">
      <c r="B368" s="9" t="s">
        <v>98</v>
      </c>
      <c r="D368" s="18"/>
      <c r="F368" s="19" t="e">
        <f>'Базовые концовки'!F234</f>
        <v>#NAME?</v>
      </c>
      <c r="G368" s="19"/>
      <c r="H368" s="19"/>
      <c r="J368" s="8"/>
      <c r="N368" s="19"/>
      <c r="R368" s="19"/>
    </row>
    <row r="369" spans="2:18" ht="10.5" hidden="1">
      <c r="B369" s="9" t="s">
        <v>79</v>
      </c>
      <c r="D369" s="18"/>
      <c r="F369" s="19">
        <f>'Базовые концовки'!F235</f>
        <v>0</v>
      </c>
      <c r="G369" s="19"/>
      <c r="H369" s="19"/>
      <c r="J369" s="8"/>
      <c r="N369" s="19"/>
      <c r="R369" s="19"/>
    </row>
    <row r="370" spans="2:18" ht="10.5" hidden="1">
      <c r="B370" s="9" t="s">
        <v>99</v>
      </c>
      <c r="D370" s="18"/>
      <c r="F370" s="19">
        <f>'Базовые концовки'!F236</f>
        <v>0</v>
      </c>
      <c r="G370" s="19"/>
      <c r="H370" s="19"/>
      <c r="J370" s="8"/>
      <c r="N370" s="19"/>
      <c r="R370" s="19"/>
    </row>
    <row r="371" spans="2:18" ht="10.5" hidden="1">
      <c r="B371" s="9" t="s">
        <v>81</v>
      </c>
      <c r="D371" s="18"/>
      <c r="F371" s="19">
        <f>'Базовые концовки'!F237</f>
        <v>0</v>
      </c>
      <c r="G371" s="19"/>
      <c r="H371" s="19"/>
      <c r="J371" s="8"/>
      <c r="N371" s="19"/>
      <c r="R371" s="19"/>
    </row>
    <row r="372" spans="2:18" ht="10.5" hidden="1">
      <c r="B372" s="9" t="s">
        <v>100</v>
      </c>
      <c r="D372" s="18"/>
      <c r="F372" s="19">
        <f>'Базовые концовки'!F238</f>
        <v>0</v>
      </c>
      <c r="G372" s="19"/>
      <c r="H372" s="19"/>
      <c r="J372" s="8"/>
      <c r="N372" s="19"/>
      <c r="R372" s="19"/>
    </row>
    <row r="373" spans="2:18" ht="10.5" hidden="1">
      <c r="B373" s="9" t="s">
        <v>101</v>
      </c>
      <c r="D373" s="18"/>
      <c r="F373" s="19">
        <f>'Базовые концовки'!F239</f>
        <v>0</v>
      </c>
      <c r="G373" s="19">
        <f>'Базовые концовки'!G239</f>
        <v>0</v>
      </c>
      <c r="H373" s="19">
        <f>'Базовые концовки'!H239</f>
        <v>0</v>
      </c>
      <c r="J373" s="8">
        <f>'Базовые концовки'!J239</f>
        <v>0</v>
      </c>
      <c r="N373" s="19">
        <f>'Базовые концовки'!L239</f>
        <v>0</v>
      </c>
      <c r="R373" s="19">
        <f>'Базовые концовки'!M239</f>
        <v>0</v>
      </c>
    </row>
    <row r="374" spans="2:18" ht="10.5" hidden="1">
      <c r="B374" s="9" t="s">
        <v>99</v>
      </c>
      <c r="D374" s="18"/>
      <c r="F374" s="19">
        <f>'Базовые концовки'!F240</f>
        <v>0</v>
      </c>
      <c r="G374" s="19"/>
      <c r="H374" s="19"/>
      <c r="J374" s="8"/>
      <c r="N374" s="19"/>
      <c r="R374" s="19"/>
    </row>
    <row r="375" spans="2:18" ht="10.5" hidden="1">
      <c r="B375" s="9" t="s">
        <v>81</v>
      </c>
      <c r="D375" s="18"/>
      <c r="F375" s="19">
        <f>'Базовые концовки'!F241</f>
        <v>0</v>
      </c>
      <c r="G375" s="19"/>
      <c r="H375" s="19"/>
      <c r="J375" s="8"/>
      <c r="N375" s="19"/>
      <c r="R375" s="19"/>
    </row>
    <row r="376" spans="2:18" ht="10.5" hidden="1">
      <c r="B376" s="9" t="s">
        <v>102</v>
      </c>
      <c r="D376" s="18"/>
      <c r="F376" s="19">
        <f>'Базовые концовки'!F242</f>
        <v>0</v>
      </c>
      <c r="G376" s="19"/>
      <c r="H376" s="19"/>
      <c r="J376" s="8"/>
      <c r="N376" s="19"/>
      <c r="R376" s="19"/>
    </row>
    <row r="377" spans="2:18" ht="10.5" hidden="1">
      <c r="B377" s="9" t="s">
        <v>103</v>
      </c>
      <c r="D377" s="18"/>
      <c r="F377" s="19">
        <f>'Базовые концовки'!F243</f>
        <v>0</v>
      </c>
      <c r="G377" s="19">
        <f>'Базовые концовки'!G243</f>
        <v>0</v>
      </c>
      <c r="H377" s="19">
        <f>'Базовые концовки'!H243</f>
        <v>0</v>
      </c>
      <c r="J377" s="8">
        <f>'Базовые концовки'!J243</f>
        <v>0</v>
      </c>
      <c r="N377" s="19">
        <f>'Базовые концовки'!L243</f>
        <v>0</v>
      </c>
      <c r="R377" s="19">
        <f>'Базовые концовки'!M243</f>
        <v>0</v>
      </c>
    </row>
    <row r="378" spans="2:18" ht="10.5" hidden="1">
      <c r="B378" s="9" t="s">
        <v>79</v>
      </c>
      <c r="D378" s="18"/>
      <c r="F378" s="19">
        <f>'Базовые концовки'!F244</f>
        <v>0</v>
      </c>
      <c r="G378" s="19"/>
      <c r="H378" s="19"/>
      <c r="J378" s="8"/>
      <c r="N378" s="19"/>
      <c r="R378" s="19"/>
    </row>
    <row r="379" spans="2:18" ht="10.5" hidden="1">
      <c r="B379" s="9" t="s">
        <v>99</v>
      </c>
      <c r="D379" s="18"/>
      <c r="F379" s="19">
        <f>'Базовые концовки'!F245</f>
        <v>0</v>
      </c>
      <c r="G379" s="19"/>
      <c r="H379" s="19"/>
      <c r="J379" s="8"/>
      <c r="N379" s="19"/>
      <c r="R379" s="19"/>
    </row>
    <row r="380" spans="2:18" ht="10.5" hidden="1">
      <c r="B380" s="9" t="s">
        <v>81</v>
      </c>
      <c r="D380" s="18"/>
      <c r="F380" s="19">
        <f>'Базовые концовки'!F246</f>
        <v>0</v>
      </c>
      <c r="G380" s="19"/>
      <c r="H380" s="19"/>
      <c r="J380" s="8"/>
      <c r="N380" s="19"/>
      <c r="R380" s="19"/>
    </row>
    <row r="381" spans="2:18" ht="10.5" hidden="1">
      <c r="B381" s="9" t="s">
        <v>104</v>
      </c>
      <c r="D381" s="18"/>
      <c r="F381" s="19">
        <f>'Базовые концовки'!F247</f>
        <v>0</v>
      </c>
      <c r="G381" s="19"/>
      <c r="H381" s="19"/>
      <c r="J381" s="8"/>
      <c r="N381" s="19"/>
      <c r="R381" s="19"/>
    </row>
    <row r="382" spans="2:18" ht="10.5" hidden="1">
      <c r="B382" s="9" t="s">
        <v>105</v>
      </c>
      <c r="D382" s="18"/>
      <c r="F382" s="19">
        <f>'Базовые концовки'!F248</f>
        <v>0</v>
      </c>
      <c r="G382" s="19">
        <f>'Базовые концовки'!G248</f>
        <v>0</v>
      </c>
      <c r="H382" s="19">
        <f>'Базовые концовки'!H248</f>
        <v>0</v>
      </c>
      <c r="J382" s="8">
        <f>'Базовые концовки'!J248</f>
        <v>0</v>
      </c>
      <c r="N382" s="19">
        <f>'Базовые концовки'!L248</f>
        <v>0</v>
      </c>
      <c r="R382" s="19">
        <f>'Базовые концовки'!M248</f>
        <v>0</v>
      </c>
    </row>
    <row r="383" spans="2:18" ht="10.5" hidden="1">
      <c r="B383" s="9" t="s">
        <v>79</v>
      </c>
      <c r="D383" s="18"/>
      <c r="F383" s="19">
        <f>'Базовые концовки'!F249</f>
        <v>0</v>
      </c>
      <c r="G383" s="19"/>
      <c r="H383" s="19"/>
      <c r="J383" s="8"/>
      <c r="N383" s="19"/>
      <c r="R383" s="19"/>
    </row>
    <row r="384" spans="2:18" ht="10.5">
      <c r="B384" s="9" t="s">
        <v>133</v>
      </c>
      <c r="E384" s="18"/>
      <c r="F384" s="19" t="e">
        <f>'Базовые концовки'!F250</f>
        <v>#NAME?</v>
      </c>
      <c r="G384" s="19">
        <f>'Базовые концовки'!G250</f>
        <v>0</v>
      </c>
      <c r="H384" s="19">
        <f>'Базовые концовки'!H250</f>
        <v>0</v>
      </c>
      <c r="J384" s="8">
        <f>'Базовые концовки'!J250</f>
        <v>0</v>
      </c>
      <c r="N384" s="19">
        <f>'Базовые концовки'!L250</f>
        <v>0</v>
      </c>
      <c r="R384" s="19">
        <f>'Базовые концовки'!M250</f>
        <v>0</v>
      </c>
    </row>
    <row r="385" spans="2:18" ht="10.5" hidden="1">
      <c r="B385" s="9" t="s">
        <v>107</v>
      </c>
      <c r="D385" s="18"/>
      <c r="F385" s="19">
        <f>'Базовые концовки'!F251</f>
        <v>0</v>
      </c>
      <c r="G385" s="19"/>
      <c r="H385" s="19"/>
      <c r="J385" s="8"/>
      <c r="N385" s="19"/>
      <c r="R385" s="19"/>
    </row>
    <row r="386" spans="2:18" ht="10.5">
      <c r="B386" s="9" t="s">
        <v>108</v>
      </c>
      <c r="E386" s="18"/>
      <c r="F386" s="19">
        <f>'Базовые концовки'!F252</f>
        <v>372.88</v>
      </c>
      <c r="G386" s="19"/>
      <c r="H386" s="19"/>
      <c r="J386" s="8"/>
      <c r="N386" s="19"/>
      <c r="R386" s="19"/>
    </row>
    <row r="387" spans="2:18" ht="10.5">
      <c r="B387" s="9" t="s">
        <v>109</v>
      </c>
      <c r="E387" s="18"/>
      <c r="F387" s="19">
        <f>'Базовые концовки'!F253</f>
        <v>217.9</v>
      </c>
      <c r="G387" s="19"/>
      <c r="H387" s="19"/>
      <c r="J387" s="8"/>
      <c r="N387" s="19"/>
      <c r="R387" s="19"/>
    </row>
    <row r="388" spans="2:18" ht="10.5" hidden="1">
      <c r="B388" s="9" t="s">
        <v>110</v>
      </c>
      <c r="D388" s="18"/>
      <c r="F388" s="19">
        <f>'Базовые концовки'!F254</f>
        <v>0</v>
      </c>
      <c r="G388" s="19"/>
      <c r="H388" s="19"/>
      <c r="J388" s="8"/>
      <c r="N388" s="19">
        <f>'Базовые концовки'!L254</f>
        <v>0</v>
      </c>
      <c r="R388" s="19"/>
    </row>
    <row r="389" spans="2:18" ht="10.5" hidden="1">
      <c r="B389" s="9" t="s">
        <v>111</v>
      </c>
      <c r="E389" s="18"/>
      <c r="F389" s="19">
        <f>'Базовые концовки'!F255</f>
        <v>356.88</v>
      </c>
      <c r="G389" s="19"/>
      <c r="H389" s="19"/>
      <c r="J389" s="8"/>
      <c r="N389" s="19"/>
      <c r="R389" s="19"/>
    </row>
    <row r="390" spans="2:18" ht="10.5" hidden="1">
      <c r="B390" s="9" t="s">
        <v>112</v>
      </c>
      <c r="E390" s="18"/>
      <c r="F390" s="19">
        <f>'Базовые концовки'!F256</f>
        <v>6.3</v>
      </c>
      <c r="G390" s="19"/>
      <c r="H390" s="19"/>
      <c r="J390" s="8"/>
      <c r="N390" s="19"/>
      <c r="R390" s="19"/>
    </row>
    <row r="391" spans="2:18" ht="10.5" hidden="1">
      <c r="B391" s="9" t="s">
        <v>113</v>
      </c>
      <c r="E391" s="18"/>
      <c r="F391" s="19">
        <f>'Базовые концовки'!F257</f>
        <v>363.18</v>
      </c>
      <c r="G391" s="19"/>
      <c r="H391" s="19"/>
      <c r="J391" s="8"/>
      <c r="N391" s="19"/>
      <c r="R391" s="19"/>
    </row>
    <row r="392" spans="2:18" ht="10.5" hidden="1">
      <c r="B392" s="9" t="s">
        <v>114</v>
      </c>
      <c r="E392" s="18"/>
      <c r="F392" s="19"/>
      <c r="G392" s="19"/>
      <c r="H392" s="19"/>
      <c r="J392" s="8" t="e">
        <f>'Базовые концовки'!J258</f>
        <v>#NAME?</v>
      </c>
      <c r="N392" s="19"/>
      <c r="R392" s="19"/>
    </row>
    <row r="393" spans="2:18" ht="10.5" hidden="1">
      <c r="B393" s="9" t="s">
        <v>115</v>
      </c>
      <c r="E393" s="18"/>
      <c r="F393" s="19"/>
      <c r="G393" s="19"/>
      <c r="H393" s="19"/>
      <c r="J393" s="8" t="e">
        <f>'Базовые концовки'!J259</f>
        <v>#NAME?</v>
      </c>
      <c r="N393" s="19"/>
      <c r="R393" s="19"/>
    </row>
    <row r="394" spans="2:18" ht="10.5" hidden="1">
      <c r="B394" s="9" t="s">
        <v>116</v>
      </c>
      <c r="E394" s="18"/>
      <c r="F394" s="19"/>
      <c r="G394" s="19"/>
      <c r="H394" s="19"/>
      <c r="J394" s="8" t="e">
        <f>'Базовые концовки'!J260</f>
        <v>#NAME?</v>
      </c>
      <c r="N394" s="19"/>
      <c r="R394" s="19"/>
    </row>
    <row r="395" spans="2:18" ht="10.5">
      <c r="B395" s="9" t="s">
        <v>332</v>
      </c>
      <c r="E395" s="18"/>
      <c r="F395" s="19" t="e">
        <f>F184+F308</f>
        <v>#NAME?</v>
      </c>
      <c r="G395" s="19"/>
      <c r="H395" s="19"/>
      <c r="J395" s="8"/>
      <c r="N395" s="19"/>
      <c r="R395" s="19"/>
    </row>
    <row r="396" spans="2:18" ht="10.5">
      <c r="B396" s="9" t="s">
        <v>118</v>
      </c>
      <c r="E396" s="18">
        <v>18</v>
      </c>
      <c r="F396" s="19" t="e">
        <f>F395*0.18</f>
        <v>#NAME?</v>
      </c>
      <c r="G396" s="19"/>
      <c r="H396" s="19"/>
      <c r="J396" s="8"/>
      <c r="N396" s="19"/>
      <c r="R396" s="19"/>
    </row>
    <row r="397" spans="2:18" ht="10.5">
      <c r="B397" s="9" t="s">
        <v>134</v>
      </c>
      <c r="E397" s="18"/>
      <c r="F397" s="19" t="e">
        <f>F395+F396</f>
        <v>#NAME?</v>
      </c>
      <c r="G397" s="19"/>
      <c r="H397" s="19"/>
      <c r="J397" s="8"/>
      <c r="N397" s="19"/>
      <c r="R397" s="19"/>
    </row>
    <row r="399" spans="2:12" ht="10.5">
      <c r="B399" s="6" t="s">
        <v>135</v>
      </c>
      <c r="C399" s="55"/>
      <c r="D399" s="55"/>
      <c r="E399" s="55"/>
      <c r="F399" s="55"/>
      <c r="G399" s="55"/>
      <c r="H399" s="55"/>
      <c r="I399" s="55"/>
      <c r="J399" s="55"/>
      <c r="K399" s="55"/>
      <c r="L399" s="55"/>
    </row>
    <row r="400" spans="3:12" ht="10.5">
      <c r="C400" s="54" t="s">
        <v>136</v>
      </c>
      <c r="D400" s="54"/>
      <c r="E400" s="54"/>
      <c r="F400" s="54"/>
      <c r="G400" s="54"/>
      <c r="H400" s="54"/>
      <c r="I400" s="54"/>
      <c r="J400" s="54"/>
      <c r="K400" s="54"/>
      <c r="L400" s="54"/>
    </row>
    <row r="402" spans="2:12" ht="10.5">
      <c r="B402" s="6" t="s">
        <v>137</v>
      </c>
      <c r="C402" s="55"/>
      <c r="D402" s="55"/>
      <c r="E402" s="55"/>
      <c r="F402" s="55"/>
      <c r="G402" s="55"/>
      <c r="H402" s="55"/>
      <c r="I402" s="55"/>
      <c r="J402" s="55"/>
      <c r="K402" s="55"/>
      <c r="L402" s="55"/>
    </row>
    <row r="403" spans="3:12" ht="10.5">
      <c r="C403" s="54" t="s">
        <v>136</v>
      </c>
      <c r="D403" s="54"/>
      <c r="E403" s="54"/>
      <c r="F403" s="54"/>
      <c r="G403" s="54"/>
      <c r="H403" s="54"/>
      <c r="I403" s="54"/>
      <c r="J403" s="54"/>
      <c r="K403" s="54"/>
      <c r="L403" s="54"/>
    </row>
    <row r="404" ht="10.5">
      <c r="A404" s="22"/>
    </row>
  </sheetData>
  <sheetProtection/>
  <mergeCells count="115">
    <mergeCell ref="C402:L402"/>
    <mergeCell ref="C403:L403"/>
    <mergeCell ref="E334:E335"/>
    <mergeCell ref="F334:F335"/>
    <mergeCell ref="G334:G335"/>
    <mergeCell ref="E347:E348"/>
    <mergeCell ref="F347:F348"/>
    <mergeCell ref="G347:G348"/>
    <mergeCell ref="C399:L399"/>
    <mergeCell ref="R312:R313"/>
    <mergeCell ref="N347:N348"/>
    <mergeCell ref="I347:I348"/>
    <mergeCell ref="R347:R348"/>
    <mergeCell ref="R334:R335"/>
    <mergeCell ref="C400:L400"/>
    <mergeCell ref="E312:E313"/>
    <mergeCell ref="F312:F313"/>
    <mergeCell ref="G312:G313"/>
    <mergeCell ref="N312:N313"/>
    <mergeCell ref="I312:I313"/>
    <mergeCell ref="N334:N335"/>
    <mergeCell ref="I334:I335"/>
    <mergeCell ref="N190:N191"/>
    <mergeCell ref="F190:F191"/>
    <mergeCell ref="N208:N209"/>
    <mergeCell ref="R226:R227"/>
    <mergeCell ref="E248:E249"/>
    <mergeCell ref="F248:F249"/>
    <mergeCell ref="G248:G249"/>
    <mergeCell ref="N248:N249"/>
    <mergeCell ref="I248:I249"/>
    <mergeCell ref="R248:R249"/>
    <mergeCell ref="A208:A209"/>
    <mergeCell ref="B208:B209"/>
    <mergeCell ref="C208:C209"/>
    <mergeCell ref="G208:G209"/>
    <mergeCell ref="F208:F209"/>
    <mergeCell ref="N226:N227"/>
    <mergeCell ref="I226:I227"/>
    <mergeCell ref="E226:E227"/>
    <mergeCell ref="F226:F227"/>
    <mergeCell ref="G226:G227"/>
    <mergeCell ref="E102:E103"/>
    <mergeCell ref="F102:F103"/>
    <mergeCell ref="G102:G103"/>
    <mergeCell ref="B188:J189"/>
    <mergeCell ref="A190:A191"/>
    <mergeCell ref="B190:B191"/>
    <mergeCell ref="C190:C191"/>
    <mergeCell ref="G190:G191"/>
    <mergeCell ref="E136:E137"/>
    <mergeCell ref="F136:F137"/>
    <mergeCell ref="G136:G137"/>
    <mergeCell ref="N136:N137"/>
    <mergeCell ref="I136:I137"/>
    <mergeCell ref="R136:R137"/>
    <mergeCell ref="N102:N103"/>
    <mergeCell ref="I102:I103"/>
    <mergeCell ref="N66:N67"/>
    <mergeCell ref="F66:F67"/>
    <mergeCell ref="N84:N85"/>
    <mergeCell ref="R102:R103"/>
    <mergeCell ref="A66:A67"/>
    <mergeCell ref="B66:B67"/>
    <mergeCell ref="C66:C67"/>
    <mergeCell ref="G66:G67"/>
    <mergeCell ref="A84:A85"/>
    <mergeCell ref="B84:B85"/>
    <mergeCell ref="C84:C85"/>
    <mergeCell ref="G84:G85"/>
    <mergeCell ref="F84:F85"/>
    <mergeCell ref="N30:N31"/>
    <mergeCell ref="F30:F31"/>
    <mergeCell ref="A48:A49"/>
    <mergeCell ref="B48:B49"/>
    <mergeCell ref="C48:C49"/>
    <mergeCell ref="G48:G49"/>
    <mergeCell ref="N48:N49"/>
    <mergeCell ref="F48:F49"/>
    <mergeCell ref="I24:J24"/>
    <mergeCell ref="A23:A25"/>
    <mergeCell ref="B23:B25"/>
    <mergeCell ref="A21:J21"/>
    <mergeCell ref="B28:J29"/>
    <mergeCell ref="A30:A31"/>
    <mergeCell ref="B30:B31"/>
    <mergeCell ref="C30:C31"/>
    <mergeCell ref="G30:G31"/>
    <mergeCell ref="A13:J13"/>
    <mergeCell ref="A14:J14"/>
    <mergeCell ref="A15:J15"/>
    <mergeCell ref="I23:J23"/>
    <mergeCell ref="H17:I17"/>
    <mergeCell ref="H18:I18"/>
    <mergeCell ref="H19:I19"/>
    <mergeCell ref="F6:I6"/>
    <mergeCell ref="F7:I7"/>
    <mergeCell ref="A8:D8"/>
    <mergeCell ref="C23:C25"/>
    <mergeCell ref="D23:E23"/>
    <mergeCell ref="F24:F25"/>
    <mergeCell ref="G24:G25"/>
    <mergeCell ref="F23:H23"/>
    <mergeCell ref="A9:D9"/>
    <mergeCell ref="F9:I9"/>
    <mergeCell ref="A7:D7"/>
    <mergeCell ref="H20:I20"/>
    <mergeCell ref="F8:I8"/>
    <mergeCell ref="A3:D3"/>
    <mergeCell ref="F3:I3"/>
    <mergeCell ref="A4:B4"/>
    <mergeCell ref="F4:G4"/>
    <mergeCell ref="A5:D5"/>
    <mergeCell ref="F5:I5"/>
    <mergeCell ref="A6:D6"/>
  </mergeCells>
  <printOptions/>
  <pageMargins left="0.39370078740157477" right="0.39370078740157477" top="0.7874015748031495" bottom="0.39370078740157477" header="0.7874015748031495" footer="0.393700787401574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1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4" customWidth="1"/>
    <col min="2" max="16384" width="9.140625" style="23" customWidth="1"/>
  </cols>
  <sheetData>
    <row r="1" spans="1:30" s="25" customFormat="1" ht="10.5">
      <c r="A1" s="8"/>
      <c r="B1" s="25" t="s">
        <v>138</v>
      </c>
      <c r="C1" s="25" t="s">
        <v>139</v>
      </c>
      <c r="D1" s="25" t="s">
        <v>140</v>
      </c>
      <c r="E1" s="25" t="s">
        <v>141</v>
      </c>
      <c r="F1" s="25" t="s">
        <v>142</v>
      </c>
      <c r="G1" s="25" t="s">
        <v>143</v>
      </c>
      <c r="H1" s="25" t="s">
        <v>144</v>
      </c>
      <c r="I1" s="25" t="s">
        <v>145</v>
      </c>
      <c r="J1" s="25" t="s">
        <v>146</v>
      </c>
      <c r="K1" s="25" t="s">
        <v>147</v>
      </c>
      <c r="L1" s="25" t="s">
        <v>148</v>
      </c>
      <c r="M1" s="25" t="s">
        <v>149</v>
      </c>
      <c r="N1" s="25" t="s">
        <v>150</v>
      </c>
      <c r="O1" s="25" t="s">
        <v>151</v>
      </c>
      <c r="P1" s="25" t="s">
        <v>152</v>
      </c>
      <c r="Q1" s="25" t="s">
        <v>153</v>
      </c>
      <c r="R1" s="25" t="s">
        <v>154</v>
      </c>
      <c r="S1" s="25" t="s">
        <v>155</v>
      </c>
      <c r="T1" s="25" t="s">
        <v>156</v>
      </c>
      <c r="U1" s="25" t="s">
        <v>157</v>
      </c>
      <c r="V1" s="25" t="s">
        <v>158</v>
      </c>
      <c r="X1" s="25" t="s">
        <v>159</v>
      </c>
      <c r="Y1" s="25" t="s">
        <v>160</v>
      </c>
      <c r="Z1" s="25" t="s">
        <v>161</v>
      </c>
      <c r="AA1" s="25" t="s">
        <v>162</v>
      </c>
      <c r="AB1" s="25" t="s">
        <v>163</v>
      </c>
      <c r="AC1" s="25" t="s">
        <v>164</v>
      </c>
      <c r="AD1" s="25" t="s">
        <v>165</v>
      </c>
    </row>
    <row r="2" spans="1:10" ht="10.5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10.5">
      <c r="A3" s="26"/>
      <c r="B3" s="58" t="s">
        <v>166</v>
      </c>
      <c r="C3" s="58"/>
      <c r="D3" s="58"/>
      <c r="E3" s="58"/>
      <c r="F3" s="58"/>
      <c r="G3" s="58"/>
      <c r="H3" s="58"/>
      <c r="I3" s="58"/>
      <c r="J3" s="58"/>
    </row>
    <row r="4" spans="1:10" ht="10.5">
      <c r="A4" s="26"/>
      <c r="B4" s="58" t="s">
        <v>167</v>
      </c>
      <c r="C4" s="58"/>
      <c r="D4" s="58"/>
      <c r="E4" s="58"/>
      <c r="F4" s="58"/>
      <c r="G4" s="58"/>
      <c r="H4" s="58"/>
      <c r="I4" s="58"/>
      <c r="J4" s="58"/>
    </row>
    <row r="5" spans="1:10" ht="10.5">
      <c r="A5" s="56"/>
      <c r="B5" s="57"/>
      <c r="C5" s="57"/>
      <c r="D5" s="57"/>
      <c r="E5" s="57"/>
      <c r="F5" s="57"/>
      <c r="G5" s="57"/>
      <c r="H5" s="57"/>
      <c r="I5" s="57"/>
      <c r="J5" s="57"/>
    </row>
    <row r="6" spans="1:30" ht="10.5">
      <c r="A6" s="23" t="str">
        <f>'Форма 4'!A30</f>
        <v>1.</v>
      </c>
      <c r="B6" s="23">
        <f aca="true" t="shared" si="0" ref="B6:B11">ROUND(C6+D6+F6,2)</f>
        <v>6519.87</v>
      </c>
      <c r="C6" s="23">
        <v>776.23</v>
      </c>
      <c r="D6" s="23">
        <v>23.6</v>
      </c>
      <c r="E6" s="23">
        <v>2.16</v>
      </c>
      <c r="F6" s="23">
        <v>5720.04</v>
      </c>
      <c r="G6" s="23">
        <v>0</v>
      </c>
      <c r="H6" s="23">
        <v>0</v>
      </c>
      <c r="I6" s="24">
        <f>'Форма 4'!I30</f>
        <v>61.9</v>
      </c>
      <c r="J6" s="24">
        <v>0</v>
      </c>
      <c r="K6" s="24">
        <f>'Форма 4'!I31</f>
        <v>0.2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</row>
    <row r="7" spans="1:30" ht="10.5">
      <c r="A7" s="23" t="str">
        <f>'Форма 4'!A48</f>
        <v>2.</v>
      </c>
      <c r="B7" s="23">
        <f t="shared" si="0"/>
        <v>507.67</v>
      </c>
      <c r="C7" s="23">
        <v>332.3</v>
      </c>
      <c r="D7" s="23">
        <v>0.96</v>
      </c>
      <c r="E7" s="23">
        <v>0</v>
      </c>
      <c r="F7" s="23">
        <v>174.41</v>
      </c>
      <c r="G7" s="23">
        <v>0</v>
      </c>
      <c r="H7" s="23">
        <v>0</v>
      </c>
      <c r="I7" s="24">
        <f>'Форма 4'!I48</f>
        <v>32.2</v>
      </c>
      <c r="J7" s="24">
        <v>0</v>
      </c>
      <c r="K7" s="24">
        <f>'Форма 4'!I49</f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</row>
    <row r="8" spans="1:30" ht="10.5">
      <c r="A8" s="23" t="str">
        <f>'Форма 4'!A66</f>
        <v>3.</v>
      </c>
      <c r="B8" s="23">
        <f t="shared" si="0"/>
        <v>56.6</v>
      </c>
      <c r="C8" s="23">
        <v>0</v>
      </c>
      <c r="D8" s="23">
        <v>56.6</v>
      </c>
      <c r="E8" s="23">
        <v>0</v>
      </c>
      <c r="F8" s="23">
        <v>0</v>
      </c>
      <c r="G8" s="23">
        <v>0</v>
      </c>
      <c r="H8" s="23">
        <v>0</v>
      </c>
      <c r="I8" s="24">
        <f>'Форма 4'!I66</f>
        <v>0</v>
      </c>
      <c r="J8" s="24">
        <v>0</v>
      </c>
      <c r="K8" s="24">
        <f>'Форма 4'!I67</f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</row>
    <row r="9" spans="1:30" ht="10.5">
      <c r="A9" s="23" t="str">
        <f>'Форма 4'!A84</f>
        <v>4.</v>
      </c>
      <c r="B9" s="23">
        <f t="shared" si="0"/>
        <v>17.99</v>
      </c>
      <c r="C9" s="23">
        <v>0</v>
      </c>
      <c r="D9" s="23">
        <v>0</v>
      </c>
      <c r="E9" s="23">
        <v>0</v>
      </c>
      <c r="F9" s="23">
        <v>17.99</v>
      </c>
      <c r="G9" s="23">
        <v>0</v>
      </c>
      <c r="H9" s="23">
        <v>0</v>
      </c>
      <c r="I9" s="24">
        <f>'Форма 4'!I84</f>
        <v>0</v>
      </c>
      <c r="J9" s="24">
        <v>0</v>
      </c>
      <c r="K9" s="24">
        <f>'Форма 4'!I85</f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</row>
    <row r="10" spans="1:30" ht="10.5">
      <c r="A10" s="23" t="str">
        <f>'Форма 4'!A190</f>
        <v>5.</v>
      </c>
      <c r="B10" s="23">
        <f t="shared" si="0"/>
        <v>631.07</v>
      </c>
      <c r="C10" s="23">
        <v>246.82</v>
      </c>
      <c r="D10" s="23">
        <v>384.25</v>
      </c>
      <c r="E10" s="23">
        <v>70.59</v>
      </c>
      <c r="F10" s="23">
        <v>0</v>
      </c>
      <c r="G10" s="23">
        <v>0</v>
      </c>
      <c r="H10" s="23">
        <v>0</v>
      </c>
      <c r="I10" s="24">
        <f>'Форма 4'!I190</f>
        <v>20.5</v>
      </c>
      <c r="J10" s="24">
        <v>0</v>
      </c>
      <c r="K10" s="24">
        <f>'Форма 4'!I191</f>
        <v>5.8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</row>
    <row r="11" spans="1:30" ht="10.5">
      <c r="A11" s="23" t="str">
        <f>'Форма 4'!A208</f>
        <v>6.</v>
      </c>
      <c r="B11" s="23">
        <f t="shared" si="0"/>
        <v>1259.06</v>
      </c>
      <c r="C11" s="23">
        <v>456.87</v>
      </c>
      <c r="D11" s="23">
        <v>24.25</v>
      </c>
      <c r="E11" s="23">
        <v>0</v>
      </c>
      <c r="F11" s="23">
        <v>777.94</v>
      </c>
      <c r="G11" s="23">
        <v>0</v>
      </c>
      <c r="H11" s="23">
        <v>0</v>
      </c>
      <c r="I11" s="24">
        <f>'Форма 4'!I208</f>
        <v>44.66</v>
      </c>
      <c r="J11" s="24">
        <v>0</v>
      </c>
      <c r="K11" s="24">
        <f>'Форма 4'!I209</f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1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4" customWidth="1"/>
    <col min="2" max="16384" width="9.140625" style="23" customWidth="1"/>
  </cols>
  <sheetData>
    <row r="1" spans="1:30" s="25" customFormat="1" ht="10.5">
      <c r="A1" s="8"/>
      <c r="B1" s="25" t="s">
        <v>138</v>
      </c>
      <c r="C1" s="25" t="s">
        <v>139</v>
      </c>
      <c r="D1" s="25" t="s">
        <v>140</v>
      </c>
      <c r="E1" s="25" t="s">
        <v>141</v>
      </c>
      <c r="F1" s="25" t="s">
        <v>142</v>
      </c>
      <c r="G1" s="25" t="s">
        <v>143</v>
      </c>
      <c r="H1" s="25" t="s">
        <v>144</v>
      </c>
      <c r="I1" s="25" t="s">
        <v>145</v>
      </c>
      <c r="J1" s="25" t="s">
        <v>146</v>
      </c>
      <c r="K1" s="25" t="s">
        <v>147</v>
      </c>
      <c r="L1" s="25" t="s">
        <v>148</v>
      </c>
      <c r="M1" s="25" t="s">
        <v>149</v>
      </c>
      <c r="N1" s="25" t="s">
        <v>150</v>
      </c>
      <c r="O1" s="25" t="s">
        <v>151</v>
      </c>
      <c r="P1" s="25" t="s">
        <v>152</v>
      </c>
      <c r="Q1" s="25" t="s">
        <v>153</v>
      </c>
      <c r="R1" s="25" t="s">
        <v>154</v>
      </c>
      <c r="S1" s="25" t="s">
        <v>155</v>
      </c>
      <c r="T1" s="25" t="s">
        <v>156</v>
      </c>
      <c r="U1" s="25" t="s">
        <v>157</v>
      </c>
      <c r="V1" s="25" t="s">
        <v>158</v>
      </c>
      <c r="X1" s="25" t="s">
        <v>159</v>
      </c>
      <c r="Y1" s="25" t="s">
        <v>160</v>
      </c>
      <c r="Z1" s="25" t="s">
        <v>161</v>
      </c>
      <c r="AA1" s="25" t="s">
        <v>162</v>
      </c>
      <c r="AB1" s="25" t="s">
        <v>163</v>
      </c>
      <c r="AC1" s="25" t="s">
        <v>164</v>
      </c>
      <c r="AD1" s="25" t="s">
        <v>165</v>
      </c>
    </row>
    <row r="2" spans="1:10" ht="10.5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10.5">
      <c r="A3" s="26"/>
      <c r="B3" s="58" t="s">
        <v>166</v>
      </c>
      <c r="C3" s="58"/>
      <c r="D3" s="58"/>
      <c r="E3" s="58"/>
      <c r="F3" s="58"/>
      <c r="G3" s="58"/>
      <c r="H3" s="58"/>
      <c r="I3" s="58"/>
      <c r="J3" s="58"/>
    </row>
    <row r="4" spans="1:10" ht="10.5">
      <c r="A4" s="26"/>
      <c r="B4" s="58" t="s">
        <v>167</v>
      </c>
      <c r="C4" s="58"/>
      <c r="D4" s="58"/>
      <c r="E4" s="58"/>
      <c r="F4" s="58"/>
      <c r="G4" s="58"/>
      <c r="H4" s="58"/>
      <c r="I4" s="58"/>
      <c r="J4" s="58"/>
    </row>
    <row r="5" spans="1:10" ht="10.5">
      <c r="A5" s="56"/>
      <c r="B5" s="57"/>
      <c r="C5" s="57"/>
      <c r="D5" s="57"/>
      <c r="E5" s="57"/>
      <c r="F5" s="57"/>
      <c r="G5" s="57"/>
      <c r="H5" s="57"/>
      <c r="I5" s="57"/>
      <c r="J5" s="57"/>
    </row>
    <row r="7" spans="2:10" ht="10.5">
      <c r="B7" s="50" t="s">
        <v>29</v>
      </c>
      <c r="C7" s="50"/>
      <c r="D7" s="50"/>
      <c r="E7" s="50"/>
      <c r="F7" s="50"/>
      <c r="G7" s="50"/>
      <c r="H7" s="50"/>
      <c r="I7" s="50"/>
      <c r="J7" s="50"/>
    </row>
    <row r="8" spans="2:10" ht="10.5">
      <c r="B8" s="50"/>
      <c r="C8" s="50"/>
      <c r="D8" s="50"/>
      <c r="E8" s="50"/>
      <c r="F8" s="50"/>
      <c r="G8" s="50"/>
      <c r="H8" s="50"/>
      <c r="I8" s="50"/>
      <c r="J8" s="50"/>
    </row>
    <row r="9" spans="1:30" ht="10.5">
      <c r="A9" s="23" t="str">
        <f>'Форма 4'!A30</f>
        <v>1.</v>
      </c>
      <c r="B9" s="23">
        <f>ROUND(C9+D9+F9,2)</f>
        <v>6519.87</v>
      </c>
      <c r="C9" s="23">
        <v>776.23</v>
      </c>
      <c r="D9" s="23">
        <v>23.6</v>
      </c>
      <c r="E9" s="23">
        <v>2.16</v>
      </c>
      <c r="F9" s="23">
        <v>5720.04</v>
      </c>
      <c r="G9" s="23">
        <v>0</v>
      </c>
      <c r="H9" s="23">
        <v>0</v>
      </c>
      <c r="I9" s="24">
        <f>'Форма 4'!I30</f>
        <v>61.9</v>
      </c>
      <c r="J9" s="24">
        <v>0</v>
      </c>
      <c r="K9" s="24">
        <f>'Форма 4'!I31</f>
        <v>0.2</v>
      </c>
      <c r="L9" s="23">
        <v>0</v>
      </c>
      <c r="M9" s="23">
        <v>0</v>
      </c>
      <c r="N9" s="23">
        <v>801.74</v>
      </c>
      <c r="O9" s="23">
        <v>467.03</v>
      </c>
      <c r="P9" s="23">
        <v>799.52</v>
      </c>
      <c r="Q9" s="23">
        <v>2.22</v>
      </c>
      <c r="R9" s="23">
        <v>465.74</v>
      </c>
      <c r="S9" s="23">
        <v>1.29</v>
      </c>
      <c r="T9" s="23">
        <v>0</v>
      </c>
      <c r="U9" s="23">
        <v>0</v>
      </c>
      <c r="V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</row>
    <row r="10" spans="1:30" ht="10.5">
      <c r="A10" s="23" t="str">
        <f>'Форма 4'!A48</f>
        <v>2.</v>
      </c>
      <c r="B10" s="23">
        <f>ROUND(C10+D10+F10,2)</f>
        <v>507.67</v>
      </c>
      <c r="C10" s="23">
        <v>332.3</v>
      </c>
      <c r="D10" s="23">
        <v>0.96</v>
      </c>
      <c r="E10" s="23">
        <v>0</v>
      </c>
      <c r="F10" s="23">
        <v>174.41</v>
      </c>
      <c r="G10" s="23">
        <v>0</v>
      </c>
      <c r="H10" s="23">
        <v>0</v>
      </c>
      <c r="I10" s="24">
        <f>'Форма 4'!I48</f>
        <v>32.2</v>
      </c>
      <c r="J10" s="24">
        <v>0</v>
      </c>
      <c r="K10" s="24">
        <f>'Форма 4'!I49</f>
        <v>0</v>
      </c>
      <c r="L10" s="23">
        <v>0</v>
      </c>
      <c r="M10" s="23">
        <v>0</v>
      </c>
      <c r="N10" s="23">
        <v>342.27</v>
      </c>
      <c r="O10" s="23">
        <v>199.38</v>
      </c>
      <c r="P10" s="23">
        <v>342.27</v>
      </c>
      <c r="Q10" s="23">
        <v>0</v>
      </c>
      <c r="R10" s="23">
        <v>199.38</v>
      </c>
      <c r="S10" s="23">
        <v>0</v>
      </c>
      <c r="T10" s="23">
        <v>0</v>
      </c>
      <c r="U10" s="23">
        <v>0</v>
      </c>
      <c r="V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</row>
    <row r="11" spans="1:30" ht="10.5">
      <c r="A11" s="23" t="str">
        <f>'Форма 4'!A66</f>
        <v>3.</v>
      </c>
      <c r="B11" s="23">
        <f>ROUND(C11+D11+F11,2)</f>
        <v>56.6</v>
      </c>
      <c r="C11" s="23">
        <v>0</v>
      </c>
      <c r="D11" s="23">
        <v>56.6</v>
      </c>
      <c r="E11" s="23">
        <v>0</v>
      </c>
      <c r="F11" s="23">
        <v>0</v>
      </c>
      <c r="G11" s="23">
        <v>0</v>
      </c>
      <c r="H11" s="23">
        <v>0</v>
      </c>
      <c r="I11" s="24">
        <f>'Форма 4'!I66</f>
        <v>0</v>
      </c>
      <c r="J11" s="24">
        <v>0</v>
      </c>
      <c r="K11" s="24">
        <f>'Форма 4'!I67</f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</row>
    <row r="12" spans="1:30" ht="10.5">
      <c r="A12" s="23" t="str">
        <f>'Форма 4'!A84</f>
        <v>4.</v>
      </c>
      <c r="B12" s="23">
        <f>ROUND(C12+D12+F12,2)</f>
        <v>17.99</v>
      </c>
      <c r="C12" s="23">
        <v>0</v>
      </c>
      <c r="D12" s="23">
        <v>0</v>
      </c>
      <c r="E12" s="23">
        <v>0</v>
      </c>
      <c r="F12" s="23">
        <v>17.99</v>
      </c>
      <c r="G12" s="23">
        <v>0</v>
      </c>
      <c r="H12" s="23">
        <v>0</v>
      </c>
      <c r="I12" s="24">
        <f>'Форма 4'!I84</f>
        <v>0</v>
      </c>
      <c r="J12" s="24">
        <v>0</v>
      </c>
      <c r="K12" s="24">
        <f>'Форма 4'!I85</f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</row>
    <row r="14" spans="2:10" ht="10.5">
      <c r="B14" s="50" t="s">
        <v>120</v>
      </c>
      <c r="C14" s="50"/>
      <c r="D14" s="50"/>
      <c r="E14" s="50"/>
      <c r="F14" s="50"/>
      <c r="G14" s="50"/>
      <c r="H14" s="50"/>
      <c r="I14" s="50"/>
      <c r="J14" s="50"/>
    </row>
    <row r="15" spans="2:10" ht="10.5">
      <c r="B15" s="50"/>
      <c r="C15" s="50"/>
      <c r="D15" s="50"/>
      <c r="E15" s="50"/>
      <c r="F15" s="50"/>
      <c r="G15" s="50"/>
      <c r="H15" s="50"/>
      <c r="I15" s="50"/>
      <c r="J15" s="50"/>
    </row>
    <row r="16" spans="1:30" ht="10.5">
      <c r="A16" s="23" t="str">
        <f>'Форма 4'!A190</f>
        <v>5.</v>
      </c>
      <c r="B16" s="23">
        <f>ROUND(C16+D16+F16,2)</f>
        <v>631.07</v>
      </c>
      <c r="C16" s="23">
        <v>246.82</v>
      </c>
      <c r="D16" s="23">
        <v>384.25</v>
      </c>
      <c r="E16" s="23">
        <v>70.59</v>
      </c>
      <c r="F16" s="23">
        <v>0</v>
      </c>
      <c r="G16" s="23">
        <v>0</v>
      </c>
      <c r="H16" s="23">
        <v>0</v>
      </c>
      <c r="I16" s="24">
        <f>'Форма 4'!I190</f>
        <v>20.5</v>
      </c>
      <c r="J16" s="24">
        <v>0</v>
      </c>
      <c r="K16" s="24">
        <f>'Форма 4'!I191</f>
        <v>5.8</v>
      </c>
      <c r="L16" s="23">
        <v>0</v>
      </c>
      <c r="M16" s="23">
        <v>0</v>
      </c>
      <c r="N16" s="23">
        <v>314.24</v>
      </c>
      <c r="O16" s="23">
        <v>190.45</v>
      </c>
      <c r="P16" s="23">
        <v>244.35</v>
      </c>
      <c r="Q16" s="23">
        <v>69.89</v>
      </c>
      <c r="R16" s="23">
        <v>148.09</v>
      </c>
      <c r="S16" s="23">
        <v>42.36</v>
      </c>
      <c r="T16" s="23">
        <v>0</v>
      </c>
      <c r="U16" s="23">
        <v>0</v>
      </c>
      <c r="V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</row>
    <row r="17" spans="1:30" ht="10.5">
      <c r="A17" s="23" t="str">
        <f>'Форма 4'!A208</f>
        <v>6.</v>
      </c>
      <c r="B17" s="23">
        <f>ROUND(C17+D17+F17,2)</f>
        <v>1259.06</v>
      </c>
      <c r="C17" s="23">
        <v>456.87</v>
      </c>
      <c r="D17" s="23">
        <v>24.25</v>
      </c>
      <c r="E17" s="23">
        <v>0</v>
      </c>
      <c r="F17" s="23">
        <v>777.94</v>
      </c>
      <c r="G17" s="23">
        <v>0</v>
      </c>
      <c r="H17" s="23">
        <v>0</v>
      </c>
      <c r="I17" s="24">
        <f>'Форма 4'!I208</f>
        <v>44.66</v>
      </c>
      <c r="J17" s="24">
        <v>0</v>
      </c>
      <c r="K17" s="24">
        <f>'Форма 4'!I209</f>
        <v>0</v>
      </c>
      <c r="L17" s="23">
        <v>0</v>
      </c>
      <c r="M17" s="23">
        <v>0</v>
      </c>
      <c r="N17" s="23">
        <v>452.3</v>
      </c>
      <c r="O17" s="23">
        <v>274.12</v>
      </c>
      <c r="P17" s="23">
        <v>452.3</v>
      </c>
      <c r="Q17" s="23">
        <v>0</v>
      </c>
      <c r="R17" s="23">
        <v>274.12</v>
      </c>
      <c r="S17" s="23">
        <v>0</v>
      </c>
      <c r="T17" s="23">
        <v>0</v>
      </c>
      <c r="U17" s="23">
        <v>0</v>
      </c>
      <c r="V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</row>
  </sheetData>
  <sheetProtection/>
  <mergeCells count="6">
    <mergeCell ref="B7:J8"/>
    <mergeCell ref="B14:J15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D1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4" customWidth="1"/>
    <col min="2" max="16384" width="9.140625" style="23" customWidth="1"/>
  </cols>
  <sheetData>
    <row r="1" spans="1:30" s="25" customFormat="1" ht="10.5">
      <c r="A1" s="8"/>
      <c r="B1" s="25" t="s">
        <v>138</v>
      </c>
      <c r="C1" s="25" t="s">
        <v>139</v>
      </c>
      <c r="D1" s="25" t="s">
        <v>140</v>
      </c>
      <c r="E1" s="25" t="s">
        <v>141</v>
      </c>
      <c r="F1" s="25" t="s">
        <v>142</v>
      </c>
      <c r="G1" s="25" t="s">
        <v>143</v>
      </c>
      <c r="H1" s="25" t="s">
        <v>144</v>
      </c>
      <c r="I1" s="25" t="s">
        <v>145</v>
      </c>
      <c r="J1" s="25" t="s">
        <v>146</v>
      </c>
      <c r="K1" s="25" t="s">
        <v>147</v>
      </c>
      <c r="L1" s="25" t="s">
        <v>148</v>
      </c>
      <c r="M1" s="25" t="s">
        <v>149</v>
      </c>
      <c r="N1" s="25" t="s">
        <v>150</v>
      </c>
      <c r="O1" s="25" t="s">
        <v>151</v>
      </c>
      <c r="P1" s="25" t="s">
        <v>152</v>
      </c>
      <c r="Q1" s="25" t="s">
        <v>153</v>
      </c>
      <c r="R1" s="25" t="s">
        <v>154</v>
      </c>
      <c r="S1" s="25" t="s">
        <v>155</v>
      </c>
      <c r="T1" s="25" t="s">
        <v>156</v>
      </c>
      <c r="U1" s="25" t="s">
        <v>157</v>
      </c>
      <c r="V1" s="25" t="s">
        <v>158</v>
      </c>
      <c r="X1" s="25" t="s">
        <v>159</v>
      </c>
      <c r="Y1" s="25" t="s">
        <v>160</v>
      </c>
      <c r="Z1" s="25" t="s">
        <v>161</v>
      </c>
      <c r="AA1" s="25" t="s">
        <v>162</v>
      </c>
      <c r="AB1" s="25" t="s">
        <v>163</v>
      </c>
      <c r="AC1" s="25" t="s">
        <v>164</v>
      </c>
      <c r="AD1" s="25" t="s">
        <v>165</v>
      </c>
    </row>
    <row r="2" spans="1:10" ht="10.5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10.5">
      <c r="A3" s="26"/>
      <c r="B3" s="58" t="s">
        <v>166</v>
      </c>
      <c r="C3" s="58"/>
      <c r="D3" s="58"/>
      <c r="E3" s="58"/>
      <c r="F3" s="58"/>
      <c r="G3" s="58"/>
      <c r="H3" s="58"/>
      <c r="I3" s="58"/>
      <c r="J3" s="58"/>
    </row>
    <row r="4" spans="1:10" ht="10.5">
      <c r="A4" s="26"/>
      <c r="B4" s="58" t="s">
        <v>167</v>
      </c>
      <c r="C4" s="58"/>
      <c r="D4" s="58"/>
      <c r="E4" s="58"/>
      <c r="F4" s="58"/>
      <c r="G4" s="58"/>
      <c r="H4" s="58"/>
      <c r="I4" s="58"/>
      <c r="J4" s="58"/>
    </row>
    <row r="5" spans="1:10" ht="10.5">
      <c r="A5" s="56"/>
      <c r="B5" s="57"/>
      <c r="C5" s="57"/>
      <c r="D5" s="57"/>
      <c r="E5" s="57"/>
      <c r="F5" s="57"/>
      <c r="G5" s="57"/>
      <c r="H5" s="57"/>
      <c r="I5" s="57"/>
      <c r="J5" s="57"/>
    </row>
    <row r="7" spans="2:10" ht="10.5">
      <c r="B7" s="50" t="s">
        <v>29</v>
      </c>
      <c r="C7" s="50"/>
      <c r="D7" s="50"/>
      <c r="E7" s="50"/>
      <c r="F7" s="50"/>
      <c r="G7" s="50"/>
      <c r="H7" s="50"/>
      <c r="I7" s="50"/>
      <c r="J7" s="50"/>
    </row>
    <row r="8" spans="2:10" ht="10.5">
      <c r="B8" s="50"/>
      <c r="C8" s="50"/>
      <c r="D8" s="50"/>
      <c r="E8" s="50"/>
      <c r="F8" s="50"/>
      <c r="G8" s="50"/>
      <c r="H8" s="50"/>
      <c r="I8" s="50"/>
      <c r="J8" s="50"/>
    </row>
    <row r="9" spans="1:30" ht="10.5">
      <c r="A9" s="23" t="str">
        <f>'Форма 4'!A30</f>
        <v>1.</v>
      </c>
      <c r="B9" s="23">
        <f>ROUND(C9+D9+F9,2)</f>
        <v>1955.96</v>
      </c>
      <c r="C9" s="23">
        <f>ROUND('Форма 4'!C30*'Базовые цены за единицу'!C9,2)</f>
        <v>232.87</v>
      </c>
      <c r="D9" s="23">
        <f>ROUND('Форма 4'!C30*'Базовые цены за единицу'!D9,2)</f>
        <v>7.08</v>
      </c>
      <c r="E9" s="23">
        <f>ROUND('Форма 4'!C30*'Базовые цены за единицу'!E9,2)</f>
        <v>0.65</v>
      </c>
      <c r="F9" s="23">
        <f>ROUND('Форма 4'!C30*'Базовые цены за единицу'!F9,2)</f>
        <v>1716.01</v>
      </c>
      <c r="G9" s="23">
        <f>ROUND('Форма 4'!C30*'Базовые цены за единицу'!G9,2)</f>
        <v>0</v>
      </c>
      <c r="H9" s="23">
        <f>ROUND('Форма 4'!C30*'Базовые цены за единицу'!H9,2)</f>
        <v>0</v>
      </c>
      <c r="I9" s="27" t="e">
        <f>ОКРУГЛВСЕ('Форма 4'!C30*'Базовые цены за единицу'!I9,8)</f>
        <v>#NAME?</v>
      </c>
      <c r="J9" s="24" t="e">
        <f>ОКРУГЛВСЕ('Форма 4'!C30*'Базовые цены за единицу'!J9,8)</f>
        <v>#NAME?</v>
      </c>
      <c r="K9" s="27" t="e">
        <f>ОКРУГЛВСЕ('Форма 4'!C30*'Базовые цены за единицу'!K9,8)</f>
        <v>#NAME?</v>
      </c>
      <c r="L9" s="23">
        <f>ROUND('Форма 4'!C30*'Базовые цены за единицу'!L9,2)</f>
        <v>0</v>
      </c>
      <c r="M9" s="23">
        <f>ROUND('Форма 4'!C30*'Базовые цены за единицу'!M9,2)</f>
        <v>0</v>
      </c>
      <c r="N9" s="23">
        <f>ROUND((C9+E9)*'Форма 4'!C41/100,2)</f>
        <v>240.53</v>
      </c>
      <c r="O9" s="23">
        <f>ROUND((C9+E9)*'Форма 4'!C44/100,2)</f>
        <v>140.11</v>
      </c>
      <c r="P9" s="23">
        <f>ROUND('Форма 4'!C30*'Базовые цены за единицу'!P9,2)</f>
        <v>239.86</v>
      </c>
      <c r="Q9" s="23">
        <f>ROUND('Форма 4'!C30*'Базовые цены за единицу'!Q9,2)</f>
        <v>0.67</v>
      </c>
      <c r="R9" s="23">
        <f>ROUND('Форма 4'!C30*'Базовые цены за единицу'!R9,2)</f>
        <v>139.72</v>
      </c>
      <c r="S9" s="23">
        <f>ROUND('Форма 4'!C30*'Базовые цены за единицу'!S9,2)</f>
        <v>0.39</v>
      </c>
      <c r="T9" s="23">
        <f>ROUND('Форма 4'!C30*'Базовые цены за единицу'!T9,2)</f>
        <v>0</v>
      </c>
      <c r="U9" s="23">
        <f>ROUND('Форма 4'!C30*'Базовые цены за единицу'!U9,2)</f>
        <v>0</v>
      </c>
      <c r="V9" s="23">
        <f>ROUND('Форма 4'!C30*'Базовые цены за единицу'!V9,2)</f>
        <v>0</v>
      </c>
      <c r="X9" s="23">
        <f>ROUND('Форма 4'!C30*'Базовые цены за единицу'!X9,2)</f>
        <v>0</v>
      </c>
      <c r="Y9" s="23">
        <f>IF(Определители!I9="9",ROUND((C9+E9)*(Начисления!M9/100)*('Форма 4'!C41/100),2),0)</f>
        <v>0</v>
      </c>
      <c r="Z9" s="23">
        <f>IF(Определители!I9="9",ROUND((C9+E9)*(100-Начисления!M9/100)*('Форма 4'!C41/100),2),0)</f>
        <v>0</v>
      </c>
      <c r="AA9" s="23">
        <f>IF(Определители!I9="9",ROUND((C9+E9)*(Начисления!M9/100)*('Форма 4'!C44/100),2),0)</f>
        <v>0</v>
      </c>
      <c r="AB9" s="23">
        <f>IF(Определители!I9="9",ROUND((C9+E9)*(100-Начисления!M9/100)*('Форма 4'!C44/100),2),0)</f>
        <v>0</v>
      </c>
      <c r="AC9" s="23">
        <f>IF(Определители!I9="9",ROUND(B9*Начисления!M9/100,2),0)</f>
        <v>0</v>
      </c>
      <c r="AD9" s="23">
        <f>IF(Определители!I9="9",ROUND(B9*(100-Начисления!M9)/100,2),0)</f>
        <v>0</v>
      </c>
    </row>
    <row r="10" spans="1:30" ht="10.5">
      <c r="A10" s="23" t="str">
        <f>'Форма 4'!A48</f>
        <v>2.</v>
      </c>
      <c r="B10" s="23">
        <f>ROUND(C10+D10+F10,2)</f>
        <v>152.3</v>
      </c>
      <c r="C10" s="23">
        <f>ROUND('Форма 4'!C48*'Базовые цены за единицу'!C10,2)</f>
        <v>99.69</v>
      </c>
      <c r="D10" s="23">
        <f>ROUND('Форма 4'!C48*'Базовые цены за единицу'!D10,2)</f>
        <v>0.29</v>
      </c>
      <c r="E10" s="23">
        <f>ROUND('Форма 4'!C48*'Базовые цены за единицу'!E10,2)</f>
        <v>0</v>
      </c>
      <c r="F10" s="23">
        <f>ROUND('Форма 4'!C48*'Базовые цены за единицу'!F10,2)</f>
        <v>52.32</v>
      </c>
      <c r="G10" s="23">
        <f>ROUND('Форма 4'!C48*'Базовые цены за единицу'!G10,2)</f>
        <v>0</v>
      </c>
      <c r="H10" s="23">
        <f>ROUND('Форма 4'!C48*'Базовые цены за единицу'!H10,2)</f>
        <v>0</v>
      </c>
      <c r="I10" s="27" t="e">
        <f>ОКРУГЛВСЕ('Форма 4'!C48*'Базовые цены за единицу'!I10,8)</f>
        <v>#NAME?</v>
      </c>
      <c r="J10" s="24" t="e">
        <f>ОКРУГЛВСЕ('Форма 4'!C48*'Базовые цены за единицу'!J10,8)</f>
        <v>#NAME?</v>
      </c>
      <c r="K10" s="27" t="e">
        <f>ОКРУГЛВСЕ('Форма 4'!C48*'Базовые цены за единицу'!K10,8)</f>
        <v>#NAME?</v>
      </c>
      <c r="L10" s="23">
        <f>ROUND('Форма 4'!C48*'Базовые цены за единицу'!L10,2)</f>
        <v>0</v>
      </c>
      <c r="M10" s="23">
        <f>ROUND('Форма 4'!C48*'Базовые цены за единицу'!M10,2)</f>
        <v>0</v>
      </c>
      <c r="N10" s="23">
        <f>ROUND((C10+E10)*'Форма 4'!C59/100,2)</f>
        <v>102.68</v>
      </c>
      <c r="O10" s="23">
        <f>ROUND((C10+E10)*'Форма 4'!C62/100,2)</f>
        <v>59.81</v>
      </c>
      <c r="P10" s="23">
        <f>ROUND('Форма 4'!C48*'Базовые цены за единицу'!P10,2)</f>
        <v>102.68</v>
      </c>
      <c r="Q10" s="23">
        <f>ROUND('Форма 4'!C48*'Базовые цены за единицу'!Q10,2)</f>
        <v>0</v>
      </c>
      <c r="R10" s="23">
        <f>ROUND('Форма 4'!C48*'Базовые цены за единицу'!R10,2)</f>
        <v>59.81</v>
      </c>
      <c r="S10" s="23">
        <f>ROUND('Форма 4'!C48*'Базовые цены за единицу'!S10,2)</f>
        <v>0</v>
      </c>
      <c r="T10" s="23">
        <f>ROUND('Форма 4'!C48*'Базовые цены за единицу'!T10,2)</f>
        <v>0</v>
      </c>
      <c r="U10" s="23">
        <f>ROUND('Форма 4'!C48*'Базовые цены за единицу'!U10,2)</f>
        <v>0</v>
      </c>
      <c r="V10" s="23">
        <f>ROUND('Форма 4'!C48*'Базовые цены за единицу'!V10,2)</f>
        <v>0</v>
      </c>
      <c r="X10" s="23">
        <f>ROUND('Форма 4'!C48*'Базовые цены за единицу'!X10,2)</f>
        <v>0</v>
      </c>
      <c r="Y10" s="23">
        <f>IF(Определители!I10="9",ROUND((C10+E10)*(Начисления!M10/100)*('Форма 4'!C59/100),2),0)</f>
        <v>0</v>
      </c>
      <c r="Z10" s="23">
        <f>IF(Определители!I10="9",ROUND((C10+E10)*(100-Начисления!M10/100)*('Форма 4'!C59/100),2),0)</f>
        <v>0</v>
      </c>
      <c r="AA10" s="23">
        <f>IF(Определители!I10="9",ROUND((C10+E10)*(Начисления!M10/100)*('Форма 4'!C62/100),2),0)</f>
        <v>0</v>
      </c>
      <c r="AB10" s="23">
        <f>IF(Определители!I10="9",ROUND((C10+E10)*(100-Начисления!M10/100)*('Форма 4'!C62/100),2),0)</f>
        <v>0</v>
      </c>
      <c r="AC10" s="23">
        <f>IF(Определители!I10="9",ROUND(B10*Начисления!M10/100,2),0)</f>
        <v>0</v>
      </c>
      <c r="AD10" s="23">
        <f>IF(Определители!I10="9",ROUND(B10*(100-Начисления!M10)/100,2),0)</f>
        <v>0</v>
      </c>
    </row>
    <row r="11" spans="1:30" ht="10.5">
      <c r="A11" s="23" t="str">
        <f>'Форма 4'!A66</f>
        <v>3.</v>
      </c>
      <c r="B11" s="23">
        <f>ROUND(C11+D11+F11,2)</f>
        <v>4.25</v>
      </c>
      <c r="C11" s="23">
        <f>ROUND('Форма 4'!C66*'Базовые цены за единицу'!C11,2)</f>
        <v>0</v>
      </c>
      <c r="D11" s="23">
        <f>ROUND('Форма 4'!C66*'Базовые цены за единицу'!D11,2)</f>
        <v>4.25</v>
      </c>
      <c r="E11" s="23">
        <f>ROUND('Форма 4'!C66*'Базовые цены за единицу'!E11,2)</f>
        <v>0</v>
      </c>
      <c r="F11" s="23">
        <f>ROUND('Форма 4'!C66*'Базовые цены за единицу'!F11,2)</f>
        <v>0</v>
      </c>
      <c r="G11" s="23">
        <f>ROUND('Форма 4'!C66*'Базовые цены за единицу'!G11,2)</f>
        <v>0</v>
      </c>
      <c r="H11" s="23">
        <f>ROUND('Форма 4'!C66*'Базовые цены за единицу'!H11,2)</f>
        <v>0</v>
      </c>
      <c r="I11" s="27" t="e">
        <f>ОКРУГЛВСЕ('Форма 4'!C66*'Базовые цены за единицу'!I11,8)</f>
        <v>#NAME?</v>
      </c>
      <c r="J11" s="24" t="e">
        <f>ОКРУГЛВСЕ('Форма 4'!C66*'Базовые цены за единицу'!J11,8)</f>
        <v>#NAME?</v>
      </c>
      <c r="K11" s="27" t="e">
        <f>ОКРУГЛВСЕ('Форма 4'!C66*'Базовые цены за единицу'!K11,8)</f>
        <v>#NAME?</v>
      </c>
      <c r="L11" s="23">
        <f>ROUND('Форма 4'!C66*'Базовые цены за единицу'!L11,2)</f>
        <v>0</v>
      </c>
      <c r="M11" s="23">
        <f>ROUND('Форма 4'!C66*'Базовые цены за единицу'!M11,2)</f>
        <v>0</v>
      </c>
      <c r="N11" s="23">
        <f>ROUND((C11+E11)*'Форма 4'!C77/100,2)</f>
        <v>0</v>
      </c>
      <c r="O11" s="23">
        <f>ROUND((C11+E11)*'Форма 4'!C80/100,2)</f>
        <v>0</v>
      </c>
      <c r="P11" s="23">
        <f>ROUND('Форма 4'!C66*'Базовые цены за единицу'!P11,2)</f>
        <v>0</v>
      </c>
      <c r="Q11" s="23">
        <f>ROUND('Форма 4'!C66*'Базовые цены за единицу'!Q11,2)</f>
        <v>0</v>
      </c>
      <c r="R11" s="23">
        <f>ROUND('Форма 4'!C66*'Базовые цены за единицу'!R11,2)</f>
        <v>0</v>
      </c>
      <c r="S11" s="23">
        <f>ROUND('Форма 4'!C66*'Базовые цены за единицу'!S11,2)</f>
        <v>0</v>
      </c>
      <c r="T11" s="23">
        <f>ROUND('Форма 4'!C66*'Базовые цены за единицу'!T11,2)</f>
        <v>0</v>
      </c>
      <c r="U11" s="23">
        <f>ROUND('Форма 4'!C66*'Базовые цены за единицу'!U11,2)</f>
        <v>0</v>
      </c>
      <c r="V11" s="23">
        <f>ROUND('Форма 4'!C66*'Базовые цены за единицу'!V11,2)</f>
        <v>0</v>
      </c>
      <c r="X11" s="23">
        <f>ROUND('Форма 4'!C66*'Базовые цены за единицу'!X11,2)</f>
        <v>0</v>
      </c>
      <c r="Y11" s="23">
        <f>IF(Определители!I11="9",ROUND((C11+E11)*(Начисления!M11/100)*('Форма 4'!C77/100),2),0)</f>
        <v>0</v>
      </c>
      <c r="Z11" s="23">
        <f>IF(Определители!I11="9",ROUND((C11+E11)*(100-Начисления!M11/100)*('Форма 4'!C77/100),2),0)</f>
        <v>0</v>
      </c>
      <c r="AA11" s="23">
        <f>IF(Определители!I11="9",ROUND((C11+E11)*(Начисления!M11/100)*('Форма 4'!C80/100),2),0)</f>
        <v>0</v>
      </c>
      <c r="AB11" s="23">
        <f>IF(Определители!I11="9",ROUND((C11+E11)*(100-Начисления!M11/100)*('Форма 4'!C80/100),2),0)</f>
        <v>0</v>
      </c>
      <c r="AC11" s="23">
        <f>IF(Определители!I11="9",ROUND(B11*Начисления!M11/100,2),0)</f>
        <v>0</v>
      </c>
      <c r="AD11" s="23">
        <f>IF(Определители!I11="9",ROUND(B11*(100-Начисления!M11)/100,2),0)</f>
        <v>0</v>
      </c>
    </row>
    <row r="12" spans="1:30" ht="10.5">
      <c r="A12" s="23" t="str">
        <f>'Форма 4'!A84</f>
        <v>4.</v>
      </c>
      <c r="B12" s="23">
        <f>ROUND(C12+D12+F12,2)</f>
        <v>1.35</v>
      </c>
      <c r="C12" s="23">
        <f>ROUND('Форма 4'!C84*'Базовые цены за единицу'!C12,2)</f>
        <v>0</v>
      </c>
      <c r="D12" s="23">
        <f>ROUND('Форма 4'!C84*'Базовые цены за единицу'!D12,2)</f>
        <v>0</v>
      </c>
      <c r="E12" s="23">
        <f>ROUND('Форма 4'!C84*'Базовые цены за единицу'!E12,2)</f>
        <v>0</v>
      </c>
      <c r="F12" s="23">
        <f>ROUND('Форма 4'!C84*'Базовые цены за единицу'!F12,2)</f>
        <v>1.35</v>
      </c>
      <c r="G12" s="23">
        <f>ROUND('Форма 4'!C84*'Базовые цены за единицу'!G12,2)</f>
        <v>0</v>
      </c>
      <c r="H12" s="23">
        <f>ROUND('Форма 4'!C84*'Базовые цены за единицу'!H12,2)</f>
        <v>0</v>
      </c>
      <c r="I12" s="27" t="e">
        <f>ОКРУГЛВСЕ('Форма 4'!C84*'Базовые цены за единицу'!I12,8)</f>
        <v>#NAME?</v>
      </c>
      <c r="J12" s="24" t="e">
        <f>ОКРУГЛВСЕ('Форма 4'!C84*'Базовые цены за единицу'!J12,8)</f>
        <v>#NAME?</v>
      </c>
      <c r="K12" s="27" t="e">
        <f>ОКРУГЛВСЕ('Форма 4'!C84*'Базовые цены за единицу'!K12,8)</f>
        <v>#NAME?</v>
      </c>
      <c r="L12" s="23">
        <f>ROUND('Форма 4'!C84*'Базовые цены за единицу'!L12,2)</f>
        <v>0</v>
      </c>
      <c r="M12" s="23">
        <f>ROUND('Форма 4'!C84*'Базовые цены за единицу'!M12,2)</f>
        <v>0</v>
      </c>
      <c r="N12" s="23">
        <f>ROUND((C12+E12)*'Форма 4'!C95/100,2)</f>
        <v>0</v>
      </c>
      <c r="O12" s="23">
        <f>ROUND((C12+E12)*'Форма 4'!C98/100,2)</f>
        <v>0</v>
      </c>
      <c r="P12" s="23">
        <f>ROUND('Форма 4'!C84*'Базовые цены за единицу'!P12,2)</f>
        <v>0</v>
      </c>
      <c r="Q12" s="23">
        <f>ROUND('Форма 4'!C84*'Базовые цены за единицу'!Q12,2)</f>
        <v>0</v>
      </c>
      <c r="R12" s="23">
        <f>ROUND('Форма 4'!C84*'Базовые цены за единицу'!R12,2)</f>
        <v>0</v>
      </c>
      <c r="S12" s="23">
        <f>ROUND('Форма 4'!C84*'Базовые цены за единицу'!S12,2)</f>
        <v>0</v>
      </c>
      <c r="T12" s="23">
        <f>ROUND('Форма 4'!C84*'Базовые цены за единицу'!T12,2)</f>
        <v>0</v>
      </c>
      <c r="U12" s="23">
        <f>ROUND('Форма 4'!C84*'Базовые цены за единицу'!U12,2)</f>
        <v>0</v>
      </c>
      <c r="V12" s="23">
        <f>ROUND('Форма 4'!C84*'Базовые цены за единицу'!V12,2)</f>
        <v>0</v>
      </c>
      <c r="X12" s="23">
        <f>ROUND('Форма 4'!C84*'Базовые цены за единицу'!X12,2)</f>
        <v>0</v>
      </c>
      <c r="Y12" s="23">
        <f>IF(Определители!I12="9",ROUND((C12+E12)*(Начисления!M12/100)*('Форма 4'!C95/100),2),0)</f>
        <v>0</v>
      </c>
      <c r="Z12" s="23">
        <f>IF(Определители!I12="9",ROUND((C12+E12)*(100-Начисления!M12/100)*('Форма 4'!C95/100),2),0)</f>
        <v>0</v>
      </c>
      <c r="AA12" s="23">
        <f>IF(Определители!I12="9",ROUND((C12+E12)*(Начисления!M12/100)*('Форма 4'!C98/100),2),0)</f>
        <v>0</v>
      </c>
      <c r="AB12" s="23">
        <f>IF(Определители!I12="9",ROUND((C12+E12)*(100-Начисления!M12/100)*('Форма 4'!C98/100),2),0)</f>
        <v>0</v>
      </c>
      <c r="AC12" s="23">
        <f>IF(Определители!I12="9",ROUND(B12*Начисления!M12/100,2),0)</f>
        <v>0</v>
      </c>
      <c r="AD12" s="23">
        <f>IF(Определители!I12="9",ROUND(B12*(100-Начисления!M12)/100,2),0)</f>
        <v>0</v>
      </c>
    </row>
    <row r="14" spans="2:10" ht="10.5">
      <c r="B14" s="50" t="s">
        <v>120</v>
      </c>
      <c r="C14" s="50"/>
      <c r="D14" s="50"/>
      <c r="E14" s="50"/>
      <c r="F14" s="50"/>
      <c r="G14" s="50"/>
      <c r="H14" s="50"/>
      <c r="I14" s="50"/>
      <c r="J14" s="50"/>
    </row>
    <row r="15" spans="2:10" ht="10.5">
      <c r="B15" s="50"/>
      <c r="C15" s="50"/>
      <c r="D15" s="50"/>
      <c r="E15" s="50"/>
      <c r="F15" s="50"/>
      <c r="G15" s="50"/>
      <c r="H15" s="50"/>
      <c r="I15" s="50"/>
      <c r="J15" s="50"/>
    </row>
    <row r="16" spans="1:30" ht="10.5">
      <c r="A16" s="23" t="str">
        <f>'Форма 4'!A190</f>
        <v>5.</v>
      </c>
      <c r="B16" s="23">
        <f>ROUND(C16+D16+F16,2)</f>
        <v>50.49</v>
      </c>
      <c r="C16" s="23">
        <f>ROUND('Форма 4'!C190*'Базовые цены за единицу'!C16,2)</f>
        <v>19.75</v>
      </c>
      <c r="D16" s="23">
        <f>ROUND('Форма 4'!C190*'Базовые цены за единицу'!D16,2)</f>
        <v>30.74</v>
      </c>
      <c r="E16" s="23">
        <f>ROUND('Форма 4'!C190*'Базовые цены за единицу'!E16,2)</f>
        <v>5.65</v>
      </c>
      <c r="F16" s="23">
        <f>ROUND('Форма 4'!C190*'Базовые цены за единицу'!F16,2)</f>
        <v>0</v>
      </c>
      <c r="G16" s="23">
        <f>ROUND('Форма 4'!C190*'Базовые цены за единицу'!G16,2)</f>
        <v>0</v>
      </c>
      <c r="H16" s="23">
        <f>ROUND('Форма 4'!C190*'Базовые цены за единицу'!H16,2)</f>
        <v>0</v>
      </c>
      <c r="I16" s="27" t="e">
        <f>ОКРУГЛВСЕ('Форма 4'!C190*'Базовые цены за единицу'!I16,8)</f>
        <v>#NAME?</v>
      </c>
      <c r="J16" s="24" t="e">
        <f>ОКРУГЛВСЕ('Форма 4'!C190*'Базовые цены за единицу'!J16,8)</f>
        <v>#NAME?</v>
      </c>
      <c r="K16" s="27" t="e">
        <f>ОКРУГЛВСЕ('Форма 4'!C190*'Базовые цены за единицу'!K16,8)</f>
        <v>#NAME?</v>
      </c>
      <c r="L16" s="23">
        <f>ROUND('Форма 4'!C190*'Базовые цены за единицу'!L16,2)</f>
        <v>0</v>
      </c>
      <c r="M16" s="23">
        <f>ROUND('Форма 4'!C190*'Базовые цены за единицу'!M16,2)</f>
        <v>0</v>
      </c>
      <c r="N16" s="23">
        <f>ROUND((C16+E16)*'Форма 4'!C201/100,2)</f>
        <v>25.15</v>
      </c>
      <c r="O16" s="23">
        <f>ROUND((C16+E16)*'Форма 4'!C204/100,2)</f>
        <v>15.24</v>
      </c>
      <c r="P16" s="23">
        <f>ROUND('Форма 4'!C190*'Базовые цены за единицу'!P16,2)</f>
        <v>19.55</v>
      </c>
      <c r="Q16" s="23">
        <f>ROUND('Форма 4'!C190*'Базовые цены за единицу'!Q16,2)</f>
        <v>5.59</v>
      </c>
      <c r="R16" s="23">
        <f>ROUND('Форма 4'!C190*'Базовые цены за единицу'!R16,2)</f>
        <v>11.85</v>
      </c>
      <c r="S16" s="23">
        <f>ROUND('Форма 4'!C190*'Базовые цены за единицу'!S16,2)</f>
        <v>3.39</v>
      </c>
      <c r="T16" s="23">
        <f>ROUND('Форма 4'!C190*'Базовые цены за единицу'!T16,2)</f>
        <v>0</v>
      </c>
      <c r="U16" s="23">
        <f>ROUND('Форма 4'!C190*'Базовые цены за единицу'!U16,2)</f>
        <v>0</v>
      </c>
      <c r="V16" s="23">
        <f>ROUND('Форма 4'!C190*'Базовые цены за единицу'!V16,2)</f>
        <v>0</v>
      </c>
      <c r="X16" s="23">
        <f>ROUND('Форма 4'!C190*'Базовые цены за единицу'!X16,2)</f>
        <v>0</v>
      </c>
      <c r="Y16" s="23">
        <f>IF(Определители!I16="9",ROUND((C16+E16)*(Начисления!M16/100)*('Форма 4'!C201/100),2),0)</f>
        <v>0</v>
      </c>
      <c r="Z16" s="23">
        <f>IF(Определители!I16="9",ROUND((C16+E16)*(100-Начисления!M16/100)*('Форма 4'!C201/100),2),0)</f>
        <v>0</v>
      </c>
      <c r="AA16" s="23">
        <f>IF(Определители!I16="9",ROUND((C16+E16)*(Начисления!M16/100)*('Форма 4'!C204/100),2),0)</f>
        <v>0</v>
      </c>
      <c r="AB16" s="23">
        <f>IF(Определители!I16="9",ROUND((C16+E16)*(100-Начисления!M16/100)*('Форма 4'!C204/100),2),0)</f>
        <v>0</v>
      </c>
      <c r="AC16" s="23">
        <f>IF(Определители!I16="9",ROUND(B16*Начисления!M16/100,2),0)</f>
        <v>0</v>
      </c>
      <c r="AD16" s="23">
        <f>IF(Определители!I16="9",ROUND(B16*(100-Начисления!M16)/100,2),0)</f>
        <v>0</v>
      </c>
    </row>
    <row r="17" spans="1:30" ht="10.5">
      <c r="A17" s="23" t="str">
        <f>'Форма 4'!A208</f>
        <v>6.</v>
      </c>
      <c r="B17" s="23">
        <f>ROUND(C17+D17+F17,2)</f>
        <v>12.59</v>
      </c>
      <c r="C17" s="23">
        <f>ROUND('Форма 4'!C208*'Базовые цены за единицу'!C17,2)</f>
        <v>4.57</v>
      </c>
      <c r="D17" s="23">
        <f>ROUND('Форма 4'!C208*'Базовые цены за единицу'!D17,2)</f>
        <v>0.24</v>
      </c>
      <c r="E17" s="23">
        <f>ROUND('Форма 4'!C208*'Базовые цены за единицу'!E17,2)</f>
        <v>0</v>
      </c>
      <c r="F17" s="23">
        <f>ROUND('Форма 4'!C208*'Базовые цены за единицу'!F17,2)</f>
        <v>7.78</v>
      </c>
      <c r="G17" s="23">
        <f>ROUND('Форма 4'!C208*'Базовые цены за единицу'!G17,2)</f>
        <v>0</v>
      </c>
      <c r="H17" s="23">
        <f>ROUND('Форма 4'!C208*'Базовые цены за единицу'!H17,2)</f>
        <v>0</v>
      </c>
      <c r="I17" s="27" t="e">
        <f>ОКРУГЛВСЕ('Форма 4'!C208*'Базовые цены за единицу'!I17,8)</f>
        <v>#NAME?</v>
      </c>
      <c r="J17" s="24" t="e">
        <f>ОКРУГЛВСЕ('Форма 4'!C208*'Базовые цены за единицу'!J17,8)</f>
        <v>#NAME?</v>
      </c>
      <c r="K17" s="27" t="e">
        <f>ОКРУГЛВСЕ('Форма 4'!C208*'Базовые цены за единицу'!K17,8)</f>
        <v>#NAME?</v>
      </c>
      <c r="L17" s="23">
        <f>ROUND('Форма 4'!C208*'Базовые цены за единицу'!L17,2)</f>
        <v>0</v>
      </c>
      <c r="M17" s="23">
        <f>ROUND('Форма 4'!C208*'Базовые цены за единицу'!M17,2)</f>
        <v>0</v>
      </c>
      <c r="N17" s="23">
        <f>ROUND((C17+E17)*'Форма 4'!C219/100,2)</f>
        <v>4.52</v>
      </c>
      <c r="O17" s="23">
        <f>ROUND((C17+E17)*'Форма 4'!C222/100,2)</f>
        <v>2.74</v>
      </c>
      <c r="P17" s="23">
        <f>ROUND('Форма 4'!C208*'Базовые цены за единицу'!P17,2)</f>
        <v>4.52</v>
      </c>
      <c r="Q17" s="23">
        <f>ROUND('Форма 4'!C208*'Базовые цены за единицу'!Q17,2)</f>
        <v>0</v>
      </c>
      <c r="R17" s="23">
        <f>ROUND('Форма 4'!C208*'Базовые цены за единицу'!R17,2)</f>
        <v>2.74</v>
      </c>
      <c r="S17" s="23">
        <f>ROUND('Форма 4'!C208*'Базовые цены за единицу'!S17,2)</f>
        <v>0</v>
      </c>
      <c r="T17" s="23">
        <f>ROUND('Форма 4'!C208*'Базовые цены за единицу'!T17,2)</f>
        <v>0</v>
      </c>
      <c r="U17" s="23">
        <f>ROUND('Форма 4'!C208*'Базовые цены за единицу'!U17,2)</f>
        <v>0</v>
      </c>
      <c r="V17" s="23">
        <f>ROUND('Форма 4'!C208*'Базовые цены за единицу'!V17,2)</f>
        <v>0</v>
      </c>
      <c r="X17" s="23">
        <f>ROUND('Форма 4'!C208*'Базовые цены за единицу'!X17,2)</f>
        <v>0</v>
      </c>
      <c r="Y17" s="23">
        <f>IF(Определители!I17="9",ROUND((C17+E17)*(Начисления!M17/100)*('Форма 4'!C219/100),2),0)</f>
        <v>0</v>
      </c>
      <c r="Z17" s="23">
        <f>IF(Определители!I17="9",ROUND((C17+E17)*(100-Начисления!M17/100)*('Форма 4'!C219/100),2),0)</f>
        <v>0</v>
      </c>
      <c r="AA17" s="23">
        <f>IF(Определители!I17="9",ROUND((C17+E17)*(Начисления!M17/100)*('Форма 4'!C222/100),2),0)</f>
        <v>0</v>
      </c>
      <c r="AB17" s="23">
        <f>IF(Определители!I17="9",ROUND((C17+E17)*(100-Начисления!M17/100)*('Форма 4'!C222/100),2),0)</f>
        <v>0</v>
      </c>
      <c r="AC17" s="23">
        <f>IF(Определители!I17="9",ROUND(B17*Начисления!M17/100,2),0)</f>
        <v>0</v>
      </c>
      <c r="AD17" s="23">
        <f>IF(Определители!I17="9",ROUND(B17*(100-Начисления!M17)/100,2),0)</f>
        <v>0</v>
      </c>
    </row>
  </sheetData>
  <sheetProtection/>
  <mergeCells count="6">
    <mergeCell ref="B7:J8"/>
    <mergeCell ref="B14:J15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X1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4" customWidth="1"/>
    <col min="2" max="16384" width="9.140625" style="23" customWidth="1"/>
  </cols>
  <sheetData>
    <row r="1" spans="1:50" s="25" customFormat="1" ht="10.5">
      <c r="A1" s="8"/>
      <c r="B1" s="25" t="s">
        <v>168</v>
      </c>
      <c r="C1" s="25" t="s">
        <v>169</v>
      </c>
      <c r="D1" s="25" t="s">
        <v>170</v>
      </c>
      <c r="E1" s="25" t="s">
        <v>171</v>
      </c>
      <c r="F1" s="25" t="s">
        <v>172</v>
      </c>
      <c r="G1" s="25" t="s">
        <v>173</v>
      </c>
      <c r="H1" s="25" t="s">
        <v>174</v>
      </c>
      <c r="I1" s="25" t="s">
        <v>175</v>
      </c>
      <c r="J1" s="25" t="s">
        <v>176</v>
      </c>
      <c r="K1" s="25" t="s">
        <v>177</v>
      </c>
      <c r="L1" s="25" t="s">
        <v>178</v>
      </c>
      <c r="M1" s="25" t="s">
        <v>179</v>
      </c>
      <c r="N1" s="25" t="s">
        <v>180</v>
      </c>
      <c r="O1" s="25" t="s">
        <v>181</v>
      </c>
      <c r="P1" s="25" t="s">
        <v>182</v>
      </c>
      <c r="Q1" s="25" t="s">
        <v>183</v>
      </c>
      <c r="R1" s="25" t="s">
        <v>184</v>
      </c>
      <c r="S1" s="25" t="s">
        <v>185</v>
      </c>
      <c r="T1" s="25" t="s">
        <v>186</v>
      </c>
      <c r="U1" s="25" t="s">
        <v>187</v>
      </c>
      <c r="V1" s="25" t="s">
        <v>188</v>
      </c>
      <c r="W1" s="25" t="s">
        <v>189</v>
      </c>
      <c r="X1" s="25" t="s">
        <v>190</v>
      </c>
      <c r="Y1" s="25" t="s">
        <v>191</v>
      </c>
      <c r="Z1" s="25" t="s">
        <v>192</v>
      </c>
      <c r="AA1" s="25" t="s">
        <v>193</v>
      </c>
      <c r="AB1" s="25" t="s">
        <v>194</v>
      </c>
      <c r="AC1" s="25" t="s">
        <v>195</v>
      </c>
      <c r="AD1" s="25" t="s">
        <v>196</v>
      </c>
      <c r="AE1" s="25" t="s">
        <v>197</v>
      </c>
      <c r="AF1" s="25" t="s">
        <v>198</v>
      </c>
      <c r="AG1" s="25" t="s">
        <v>199</v>
      </c>
      <c r="AH1" s="25" t="s">
        <v>200</v>
      </c>
      <c r="AI1" s="25" t="s">
        <v>201</v>
      </c>
      <c r="AJ1" s="25" t="s">
        <v>202</v>
      </c>
      <c r="AK1" s="25" t="s">
        <v>203</v>
      </c>
      <c r="AL1" s="25" t="s">
        <v>204</v>
      </c>
      <c r="AM1" s="25" t="s">
        <v>205</v>
      </c>
      <c r="AN1" s="25" t="s">
        <v>206</v>
      </c>
      <c r="AO1" s="25" t="s">
        <v>207</v>
      </c>
      <c r="AP1" s="25" t="s">
        <v>208</v>
      </c>
      <c r="AQ1" s="25" t="s">
        <v>209</v>
      </c>
      <c r="AR1" s="25" t="s">
        <v>210</v>
      </c>
      <c r="AS1" s="25" t="s">
        <v>211</v>
      </c>
      <c r="AT1" s="25" t="s">
        <v>212</v>
      </c>
      <c r="AU1" s="25" t="s">
        <v>213</v>
      </c>
      <c r="AV1" s="25" t="s">
        <v>214</v>
      </c>
      <c r="AW1" s="25" t="s">
        <v>215</v>
      </c>
      <c r="AX1" s="25" t="s">
        <v>216</v>
      </c>
    </row>
    <row r="2" spans="1:10" ht="10.5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10.5">
      <c r="A3" s="26"/>
      <c r="B3" s="58" t="s">
        <v>166</v>
      </c>
      <c r="C3" s="58"/>
      <c r="D3" s="58"/>
      <c r="E3" s="58"/>
      <c r="F3" s="58"/>
      <c r="G3" s="58"/>
      <c r="H3" s="58"/>
      <c r="I3" s="58"/>
      <c r="J3" s="58"/>
    </row>
    <row r="4" spans="1:10" ht="10.5">
      <c r="A4" s="26"/>
      <c r="B4" s="58" t="s">
        <v>167</v>
      </c>
      <c r="C4" s="58"/>
      <c r="D4" s="58"/>
      <c r="E4" s="58"/>
      <c r="F4" s="58"/>
      <c r="G4" s="58"/>
      <c r="H4" s="58"/>
      <c r="I4" s="58"/>
      <c r="J4" s="58"/>
    </row>
    <row r="5" spans="1:10" ht="10.5">
      <c r="A5" s="56"/>
      <c r="B5" s="57"/>
      <c r="C5" s="57"/>
      <c r="D5" s="57"/>
      <c r="E5" s="57"/>
      <c r="F5" s="57"/>
      <c r="G5" s="57"/>
      <c r="H5" s="57"/>
      <c r="I5" s="57"/>
      <c r="J5" s="57"/>
    </row>
    <row r="7" spans="2:10" ht="10.5">
      <c r="B7" s="50" t="s">
        <v>29</v>
      </c>
      <c r="C7" s="50"/>
      <c r="D7" s="50"/>
      <c r="E7" s="50"/>
      <c r="F7" s="50"/>
      <c r="G7" s="50"/>
      <c r="H7" s="50"/>
      <c r="I7" s="50"/>
      <c r="J7" s="50"/>
    </row>
    <row r="8" spans="2:10" ht="10.5">
      <c r="B8" s="50"/>
      <c r="C8" s="50"/>
      <c r="D8" s="50"/>
      <c r="E8" s="50"/>
      <c r="F8" s="50"/>
      <c r="G8" s="50"/>
      <c r="H8" s="50"/>
      <c r="I8" s="50"/>
      <c r="J8" s="50"/>
    </row>
    <row r="9" spans="1:50" ht="10.5">
      <c r="A9" s="24" t="str">
        <f>'Форма 4'!A30</f>
        <v>1.</v>
      </c>
      <c r="B9" s="24">
        <v>1</v>
      </c>
      <c r="C9" s="24">
        <v>1</v>
      </c>
      <c r="D9" s="24">
        <v>1</v>
      </c>
      <c r="E9" s="24">
        <v>1</v>
      </c>
      <c r="F9" s="24">
        <v>1</v>
      </c>
      <c r="G9" s="24">
        <v>1</v>
      </c>
      <c r="H9" s="24">
        <v>1</v>
      </c>
      <c r="I9" s="24">
        <v>1</v>
      </c>
      <c r="J9" s="24">
        <v>1</v>
      </c>
      <c r="K9" s="24">
        <v>0</v>
      </c>
      <c r="L9" s="24">
        <v>0</v>
      </c>
      <c r="M9" s="24">
        <v>100</v>
      </c>
      <c r="N9" s="24">
        <v>0</v>
      </c>
      <c r="O9" s="24">
        <v>0</v>
      </c>
      <c r="P9" s="24">
        <v>1</v>
      </c>
      <c r="Q9" s="24">
        <v>1</v>
      </c>
      <c r="R9" s="24">
        <v>0</v>
      </c>
      <c r="S9" s="24">
        <v>0</v>
      </c>
      <c r="T9" s="24">
        <v>1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1.7</v>
      </c>
      <c r="AH9" s="24">
        <v>1.6</v>
      </c>
      <c r="AI9" s="24">
        <v>1.29</v>
      </c>
      <c r="AJ9" s="24">
        <v>0.092</v>
      </c>
      <c r="AK9" s="24">
        <v>0.18</v>
      </c>
      <c r="AL9" s="24">
        <v>1</v>
      </c>
      <c r="AM9" s="24">
        <v>1</v>
      </c>
      <c r="AN9" s="24">
        <v>0.2</v>
      </c>
      <c r="AO9" s="24">
        <v>1.5</v>
      </c>
      <c r="AP9" s="24">
        <v>1</v>
      </c>
      <c r="AQ9" s="24">
        <v>1</v>
      </c>
      <c r="AR9" s="24">
        <v>1</v>
      </c>
      <c r="AS9" s="24">
        <v>1</v>
      </c>
      <c r="AT9" s="24">
        <v>1</v>
      </c>
      <c r="AU9" s="24">
        <v>100</v>
      </c>
      <c r="AV9" s="24">
        <v>1</v>
      </c>
      <c r="AW9" s="24">
        <v>1</v>
      </c>
      <c r="AX9" s="24">
        <v>1</v>
      </c>
    </row>
    <row r="10" spans="1:50" ht="10.5">
      <c r="A10" s="24" t="str">
        <f>'Форма 4'!A48</f>
        <v>2.</v>
      </c>
      <c r="B10" s="24">
        <v>1</v>
      </c>
      <c r="C10" s="24">
        <v>1</v>
      </c>
      <c r="D10" s="24">
        <v>1</v>
      </c>
      <c r="E10" s="24">
        <v>1</v>
      </c>
      <c r="F10" s="24">
        <v>1</v>
      </c>
      <c r="G10" s="24">
        <v>1</v>
      </c>
      <c r="H10" s="24">
        <v>1</v>
      </c>
      <c r="I10" s="24">
        <v>1</v>
      </c>
      <c r="J10" s="24">
        <v>1</v>
      </c>
      <c r="K10" s="24">
        <v>0</v>
      </c>
      <c r="L10" s="24">
        <v>0</v>
      </c>
      <c r="M10" s="24">
        <v>100</v>
      </c>
      <c r="N10" s="24">
        <v>0</v>
      </c>
      <c r="O10" s="24">
        <v>0</v>
      </c>
      <c r="P10" s="24">
        <v>1</v>
      </c>
      <c r="Q10" s="24">
        <v>1</v>
      </c>
      <c r="R10" s="24">
        <v>0</v>
      </c>
      <c r="S10" s="24">
        <v>0</v>
      </c>
      <c r="T10" s="24">
        <v>1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1.7</v>
      </c>
      <c r="AH10" s="24">
        <v>1.6</v>
      </c>
      <c r="AI10" s="24">
        <v>1.29</v>
      </c>
      <c r="AJ10" s="24">
        <v>0.092</v>
      </c>
      <c r="AK10" s="24">
        <v>0.18</v>
      </c>
      <c r="AL10" s="24">
        <v>1</v>
      </c>
      <c r="AM10" s="24">
        <v>1</v>
      </c>
      <c r="AN10" s="24">
        <v>0.2</v>
      </c>
      <c r="AO10" s="24">
        <v>1.5</v>
      </c>
      <c r="AP10" s="24">
        <v>1</v>
      </c>
      <c r="AQ10" s="24">
        <v>1</v>
      </c>
      <c r="AR10" s="24">
        <v>1</v>
      </c>
      <c r="AS10" s="24">
        <v>1</v>
      </c>
      <c r="AT10" s="24">
        <v>1</v>
      </c>
      <c r="AU10" s="24">
        <v>100</v>
      </c>
      <c r="AV10" s="24">
        <v>1</v>
      </c>
      <c r="AW10" s="24">
        <v>1</v>
      </c>
      <c r="AX10" s="24">
        <v>1</v>
      </c>
    </row>
    <row r="11" spans="1:50" ht="10.5">
      <c r="A11" s="24" t="str">
        <f>'Форма 4'!A66</f>
        <v>3.</v>
      </c>
      <c r="B11" s="24">
        <v>1</v>
      </c>
      <c r="C11" s="24">
        <v>1</v>
      </c>
      <c r="D11" s="24">
        <v>1</v>
      </c>
      <c r="E11" s="24">
        <v>1</v>
      </c>
      <c r="F11" s="24">
        <v>1</v>
      </c>
      <c r="G11" s="24">
        <v>1</v>
      </c>
      <c r="H11" s="24">
        <v>1</v>
      </c>
      <c r="I11" s="24">
        <v>1</v>
      </c>
      <c r="J11" s="24">
        <v>1</v>
      </c>
      <c r="K11" s="24">
        <v>0</v>
      </c>
      <c r="L11" s="24">
        <v>0</v>
      </c>
      <c r="M11" s="24">
        <v>100</v>
      </c>
      <c r="N11" s="24">
        <v>0</v>
      </c>
      <c r="O11" s="24">
        <v>0</v>
      </c>
      <c r="P11" s="24">
        <v>1</v>
      </c>
      <c r="Q11" s="24">
        <v>1</v>
      </c>
      <c r="R11" s="24">
        <v>0</v>
      </c>
      <c r="S11" s="24">
        <v>0</v>
      </c>
      <c r="T11" s="24">
        <v>1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1.7</v>
      </c>
      <c r="AH11" s="24">
        <v>1.6</v>
      </c>
      <c r="AI11" s="24">
        <v>1.29</v>
      </c>
      <c r="AJ11" s="24">
        <v>0.092</v>
      </c>
      <c r="AK11" s="24">
        <v>0.18</v>
      </c>
      <c r="AL11" s="24">
        <v>1</v>
      </c>
      <c r="AM11" s="24">
        <v>1</v>
      </c>
      <c r="AN11" s="24">
        <v>0.2</v>
      </c>
      <c r="AO11" s="24">
        <v>1.5</v>
      </c>
      <c r="AP11" s="24">
        <v>1</v>
      </c>
      <c r="AQ11" s="24">
        <v>1</v>
      </c>
      <c r="AR11" s="24">
        <v>1</v>
      </c>
      <c r="AS11" s="24">
        <v>1</v>
      </c>
      <c r="AT11" s="24">
        <v>1</v>
      </c>
      <c r="AU11" s="24">
        <v>100</v>
      </c>
      <c r="AV11" s="24">
        <v>1</v>
      </c>
      <c r="AW11" s="24">
        <v>1</v>
      </c>
      <c r="AX11" s="24">
        <v>1</v>
      </c>
    </row>
    <row r="12" spans="1:50" ht="10.5">
      <c r="A12" s="24" t="str">
        <f>'Форма 4'!A84</f>
        <v>4.</v>
      </c>
      <c r="B12" s="24">
        <v>1</v>
      </c>
      <c r="C12" s="24">
        <v>1</v>
      </c>
      <c r="D12" s="24">
        <v>1</v>
      </c>
      <c r="E12" s="24">
        <v>1</v>
      </c>
      <c r="F12" s="24">
        <v>1</v>
      </c>
      <c r="G12" s="24">
        <v>1</v>
      </c>
      <c r="H12" s="24">
        <v>1</v>
      </c>
      <c r="I12" s="24">
        <v>1</v>
      </c>
      <c r="J12" s="24">
        <v>1</v>
      </c>
      <c r="K12" s="24">
        <v>0</v>
      </c>
      <c r="L12" s="24">
        <v>0</v>
      </c>
      <c r="M12" s="24">
        <v>100</v>
      </c>
      <c r="N12" s="24">
        <v>0</v>
      </c>
      <c r="O12" s="24">
        <v>0</v>
      </c>
      <c r="P12" s="24">
        <v>1</v>
      </c>
      <c r="Q12" s="24">
        <v>1</v>
      </c>
      <c r="R12" s="24">
        <v>0</v>
      </c>
      <c r="S12" s="24">
        <v>0</v>
      </c>
      <c r="T12" s="24">
        <v>1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1.7</v>
      </c>
      <c r="AH12" s="24">
        <v>1.6</v>
      </c>
      <c r="AI12" s="24">
        <v>1.29</v>
      </c>
      <c r="AJ12" s="24">
        <v>0.092</v>
      </c>
      <c r="AK12" s="24">
        <v>0.18</v>
      </c>
      <c r="AL12" s="24">
        <v>1</v>
      </c>
      <c r="AM12" s="24">
        <v>1</v>
      </c>
      <c r="AN12" s="24">
        <v>0.2</v>
      </c>
      <c r="AO12" s="24">
        <v>1.5</v>
      </c>
      <c r="AP12" s="24">
        <v>1</v>
      </c>
      <c r="AQ12" s="24">
        <v>1</v>
      </c>
      <c r="AR12" s="24">
        <v>1</v>
      </c>
      <c r="AS12" s="24">
        <v>1</v>
      </c>
      <c r="AT12" s="24">
        <v>1</v>
      </c>
      <c r="AU12" s="24">
        <v>100</v>
      </c>
      <c r="AV12" s="24">
        <v>1</v>
      </c>
      <c r="AW12" s="24">
        <v>1</v>
      </c>
      <c r="AX12" s="24">
        <v>1</v>
      </c>
    </row>
    <row r="14" spans="2:10" ht="10.5">
      <c r="B14" s="50" t="s">
        <v>120</v>
      </c>
      <c r="C14" s="50"/>
      <c r="D14" s="50"/>
      <c r="E14" s="50"/>
      <c r="F14" s="50"/>
      <c r="G14" s="50"/>
      <c r="H14" s="50"/>
      <c r="I14" s="50"/>
      <c r="J14" s="50"/>
    </row>
    <row r="15" spans="2:10" ht="10.5">
      <c r="B15" s="50"/>
      <c r="C15" s="50"/>
      <c r="D15" s="50"/>
      <c r="E15" s="50"/>
      <c r="F15" s="50"/>
      <c r="G15" s="50"/>
      <c r="H15" s="50"/>
      <c r="I15" s="50"/>
      <c r="J15" s="50"/>
    </row>
    <row r="16" spans="1:50" ht="10.5">
      <c r="A16" s="24" t="str">
        <f>'Форма 4'!A190</f>
        <v>5.</v>
      </c>
      <c r="B16" s="24">
        <v>1</v>
      </c>
      <c r="C16" s="24">
        <v>1</v>
      </c>
      <c r="D16" s="24">
        <v>1</v>
      </c>
      <c r="E16" s="24">
        <v>1</v>
      </c>
      <c r="F16" s="24">
        <v>1</v>
      </c>
      <c r="G16" s="24">
        <v>1</v>
      </c>
      <c r="H16" s="24">
        <v>1</v>
      </c>
      <c r="I16" s="24">
        <v>1</v>
      </c>
      <c r="J16" s="24">
        <v>1</v>
      </c>
      <c r="K16" s="24">
        <v>0</v>
      </c>
      <c r="L16" s="24">
        <v>0</v>
      </c>
      <c r="M16" s="24">
        <v>100</v>
      </c>
      <c r="N16" s="24">
        <v>0</v>
      </c>
      <c r="O16" s="24">
        <v>0</v>
      </c>
      <c r="P16" s="24">
        <v>1</v>
      </c>
      <c r="Q16" s="24">
        <v>1</v>
      </c>
      <c r="R16" s="24">
        <v>0</v>
      </c>
      <c r="S16" s="24">
        <v>0</v>
      </c>
      <c r="T16" s="24">
        <v>1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1.7</v>
      </c>
      <c r="AH16" s="24">
        <v>1.6</v>
      </c>
      <c r="AI16" s="24">
        <v>1.29</v>
      </c>
      <c r="AJ16" s="24">
        <v>0.092</v>
      </c>
      <c r="AK16" s="24">
        <v>0.18</v>
      </c>
      <c r="AL16" s="24">
        <v>1</v>
      </c>
      <c r="AM16" s="24">
        <v>1</v>
      </c>
      <c r="AN16" s="24">
        <v>0.2</v>
      </c>
      <c r="AO16" s="24">
        <v>1.5</v>
      </c>
      <c r="AP16" s="24">
        <v>1</v>
      </c>
      <c r="AQ16" s="24">
        <v>1</v>
      </c>
      <c r="AR16" s="24">
        <v>1</v>
      </c>
      <c r="AS16" s="24">
        <v>1</v>
      </c>
      <c r="AT16" s="24">
        <v>1</v>
      </c>
      <c r="AU16" s="24">
        <v>100</v>
      </c>
      <c r="AV16" s="24">
        <v>1</v>
      </c>
      <c r="AW16" s="24">
        <v>1</v>
      </c>
      <c r="AX16" s="24">
        <v>1</v>
      </c>
    </row>
    <row r="17" spans="1:50" ht="10.5">
      <c r="A17" s="24" t="str">
        <f>'Форма 4'!A208</f>
        <v>6.</v>
      </c>
      <c r="B17" s="24">
        <v>1</v>
      </c>
      <c r="C17" s="24">
        <v>1</v>
      </c>
      <c r="D17" s="24">
        <v>1</v>
      </c>
      <c r="E17" s="24">
        <v>1</v>
      </c>
      <c r="F17" s="24">
        <v>1</v>
      </c>
      <c r="G17" s="24">
        <v>1</v>
      </c>
      <c r="H17" s="24">
        <v>1</v>
      </c>
      <c r="I17" s="24">
        <v>1</v>
      </c>
      <c r="J17" s="24">
        <v>1</v>
      </c>
      <c r="K17" s="24">
        <v>0</v>
      </c>
      <c r="L17" s="24">
        <v>0</v>
      </c>
      <c r="M17" s="24">
        <v>100</v>
      </c>
      <c r="N17" s="24">
        <v>0</v>
      </c>
      <c r="O17" s="24">
        <v>0</v>
      </c>
      <c r="P17" s="24">
        <v>1</v>
      </c>
      <c r="Q17" s="24">
        <v>1</v>
      </c>
      <c r="R17" s="24">
        <v>0</v>
      </c>
      <c r="S17" s="24">
        <v>0</v>
      </c>
      <c r="T17" s="24">
        <v>1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1.7</v>
      </c>
      <c r="AH17" s="24">
        <v>1.6</v>
      </c>
      <c r="AI17" s="24">
        <v>1.29</v>
      </c>
      <c r="AJ17" s="24">
        <v>0.092</v>
      </c>
      <c r="AK17" s="24">
        <v>0.18</v>
      </c>
      <c r="AL17" s="24">
        <v>1</v>
      </c>
      <c r="AM17" s="24">
        <v>1</v>
      </c>
      <c r="AN17" s="24">
        <v>0.2</v>
      </c>
      <c r="AO17" s="24">
        <v>1.5</v>
      </c>
      <c r="AP17" s="24">
        <v>1</v>
      </c>
      <c r="AQ17" s="24">
        <v>1</v>
      </c>
      <c r="AR17" s="24">
        <v>1</v>
      </c>
      <c r="AS17" s="24">
        <v>1</v>
      </c>
      <c r="AT17" s="24">
        <v>1</v>
      </c>
      <c r="AU17" s="24">
        <v>100</v>
      </c>
      <c r="AV17" s="24">
        <v>1</v>
      </c>
      <c r="AW17" s="24">
        <v>1</v>
      </c>
      <c r="AX17" s="24">
        <v>1</v>
      </c>
    </row>
  </sheetData>
  <sheetProtection/>
  <mergeCells count="6">
    <mergeCell ref="B7:J8"/>
    <mergeCell ref="B14:J15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J1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9" customWidth="1"/>
    <col min="2" max="16384" width="9.140625" style="28" customWidth="1"/>
  </cols>
  <sheetData>
    <row r="1" spans="2:10" s="25" customFormat="1" ht="10.5">
      <c r="B1" s="25" t="s">
        <v>217</v>
      </c>
      <c r="C1" s="25" t="s">
        <v>218</v>
      </c>
      <c r="D1" s="25" t="s">
        <v>219</v>
      </c>
      <c r="E1" s="25" t="s">
        <v>220</v>
      </c>
      <c r="F1" s="25" t="s">
        <v>221</v>
      </c>
      <c r="G1" s="25" t="s">
        <v>222</v>
      </c>
      <c r="H1" s="25" t="s">
        <v>223</v>
      </c>
      <c r="I1" s="25" t="s">
        <v>224</v>
      </c>
      <c r="J1" s="25" t="s">
        <v>225</v>
      </c>
    </row>
    <row r="2" spans="1:10" ht="10.5">
      <c r="A2" s="60"/>
      <c r="B2" s="61"/>
      <c r="C2" s="61"/>
      <c r="D2" s="61"/>
      <c r="E2" s="61"/>
      <c r="F2" s="61"/>
      <c r="G2" s="61"/>
      <c r="H2" s="61"/>
      <c r="I2" s="61"/>
      <c r="J2" s="61"/>
    </row>
    <row r="3" spans="1:10" ht="10.5">
      <c r="A3" s="30"/>
      <c r="B3" s="62" t="s">
        <v>166</v>
      </c>
      <c r="C3" s="62"/>
      <c r="D3" s="62"/>
      <c r="E3" s="62"/>
      <c r="F3" s="62"/>
      <c r="G3" s="62"/>
      <c r="H3" s="62"/>
      <c r="I3" s="62"/>
      <c r="J3" s="62"/>
    </row>
    <row r="4" spans="1:10" ht="10.5">
      <c r="A4" s="30"/>
      <c r="B4" s="62" t="s">
        <v>167</v>
      </c>
      <c r="C4" s="62"/>
      <c r="D4" s="62"/>
      <c r="E4" s="62"/>
      <c r="F4" s="62"/>
      <c r="G4" s="62"/>
      <c r="H4" s="62"/>
      <c r="I4" s="62"/>
      <c r="J4" s="62"/>
    </row>
    <row r="5" spans="1:10" ht="10.5">
      <c r="A5" s="60"/>
      <c r="B5" s="61"/>
      <c r="C5" s="61"/>
      <c r="D5" s="61"/>
      <c r="E5" s="61"/>
      <c r="F5" s="61"/>
      <c r="G5" s="61"/>
      <c r="H5" s="61"/>
      <c r="I5" s="61"/>
      <c r="J5" s="61"/>
    </row>
    <row r="7" spans="2:10" ht="10.5">
      <c r="B7" s="59" t="s">
        <v>29</v>
      </c>
      <c r="C7" s="59"/>
      <c r="D7" s="59"/>
      <c r="E7" s="59"/>
      <c r="F7" s="59"/>
      <c r="G7" s="59"/>
      <c r="H7" s="59"/>
      <c r="I7" s="59"/>
      <c r="J7" s="59"/>
    </row>
    <row r="8" spans="2:10" ht="10.5">
      <c r="B8" s="59"/>
      <c r="C8" s="59"/>
      <c r="D8" s="59"/>
      <c r="E8" s="59"/>
      <c r="F8" s="59"/>
      <c r="G8" s="59"/>
      <c r="H8" s="59"/>
      <c r="I8" s="59"/>
      <c r="J8" s="59"/>
    </row>
    <row r="9" spans="1:10" ht="10.5">
      <c r="A9" s="29" t="str">
        <f>'Форма 4'!A30</f>
        <v>1.</v>
      </c>
      <c r="B9" s="28" t="s">
        <v>226</v>
      </c>
      <c r="C9" s="28" t="s">
        <v>226</v>
      </c>
      <c r="D9" s="28" t="s">
        <v>227</v>
      </c>
      <c r="E9" s="28" t="s">
        <v>227</v>
      </c>
      <c r="F9" s="28" t="s">
        <v>228</v>
      </c>
      <c r="G9" s="28" t="s">
        <v>227</v>
      </c>
      <c r="H9" s="28" t="s">
        <v>227</v>
      </c>
      <c r="I9" s="28" t="s">
        <v>229</v>
      </c>
      <c r="J9" s="28" t="s">
        <v>227</v>
      </c>
    </row>
    <row r="10" spans="1:10" ht="10.5">
      <c r="A10" s="29" t="str">
        <f>'Форма 4'!A48</f>
        <v>2.</v>
      </c>
      <c r="B10" s="28" t="s">
        <v>226</v>
      </c>
      <c r="C10" s="28" t="s">
        <v>226</v>
      </c>
      <c r="D10" s="28" t="s">
        <v>227</v>
      </c>
      <c r="E10" s="28" t="s">
        <v>227</v>
      </c>
      <c r="F10" s="28" t="s">
        <v>228</v>
      </c>
      <c r="G10" s="28" t="s">
        <v>227</v>
      </c>
      <c r="H10" s="28" t="s">
        <v>227</v>
      </c>
      <c r="I10" s="28" t="s">
        <v>229</v>
      </c>
      <c r="J10" s="28" t="s">
        <v>227</v>
      </c>
    </row>
    <row r="11" spans="1:10" ht="10.5">
      <c r="A11" s="29" t="str">
        <f>'Форма 4'!A66</f>
        <v>3.</v>
      </c>
      <c r="B11" s="28" t="s">
        <v>226</v>
      </c>
      <c r="C11" s="28" t="s">
        <v>226</v>
      </c>
      <c r="D11" s="28" t="s">
        <v>227</v>
      </c>
      <c r="E11" s="28" t="s">
        <v>227</v>
      </c>
      <c r="F11" s="28" t="s">
        <v>230</v>
      </c>
      <c r="G11" s="28" t="s">
        <v>227</v>
      </c>
      <c r="H11" s="28" t="s">
        <v>227</v>
      </c>
      <c r="I11" s="28" t="s">
        <v>228</v>
      </c>
      <c r="J11" s="28" t="s">
        <v>227</v>
      </c>
    </row>
    <row r="12" spans="1:10" ht="10.5">
      <c r="A12" s="29" t="str">
        <f>'Форма 4'!A84</f>
        <v>4.</v>
      </c>
      <c r="B12" s="28" t="s">
        <v>226</v>
      </c>
      <c r="C12" s="28" t="s">
        <v>226</v>
      </c>
      <c r="D12" s="28" t="s">
        <v>227</v>
      </c>
      <c r="E12" s="28" t="s">
        <v>227</v>
      </c>
      <c r="F12" s="28" t="s">
        <v>230</v>
      </c>
      <c r="G12" s="28" t="s">
        <v>226</v>
      </c>
      <c r="H12" s="28" t="s">
        <v>227</v>
      </c>
      <c r="I12" s="28" t="s">
        <v>228</v>
      </c>
      <c r="J12" s="28" t="s">
        <v>227</v>
      </c>
    </row>
    <row r="14" spans="2:10" ht="10.5">
      <c r="B14" s="59" t="s">
        <v>120</v>
      </c>
      <c r="C14" s="59"/>
      <c r="D14" s="59"/>
      <c r="E14" s="59"/>
      <c r="F14" s="59"/>
      <c r="G14" s="59"/>
      <c r="H14" s="59"/>
      <c r="I14" s="59"/>
      <c r="J14" s="59"/>
    </row>
    <row r="15" spans="2:10" ht="10.5"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10.5">
      <c r="A16" s="29" t="str">
        <f>'Форма 4'!A190</f>
        <v>5.</v>
      </c>
      <c r="B16" s="28" t="s">
        <v>226</v>
      </c>
      <c r="C16" s="28" t="s">
        <v>226</v>
      </c>
      <c r="D16" s="28" t="s">
        <v>227</v>
      </c>
      <c r="E16" s="28" t="s">
        <v>227</v>
      </c>
      <c r="F16" s="28" t="s">
        <v>230</v>
      </c>
      <c r="G16" s="28" t="s">
        <v>227</v>
      </c>
      <c r="H16" s="28" t="s">
        <v>227</v>
      </c>
      <c r="I16" s="28" t="s">
        <v>228</v>
      </c>
      <c r="J16" s="28" t="s">
        <v>227</v>
      </c>
    </row>
    <row r="17" spans="1:10" ht="10.5">
      <c r="A17" s="29" t="str">
        <f>'Форма 4'!A208</f>
        <v>6.</v>
      </c>
      <c r="B17" s="28" t="s">
        <v>226</v>
      </c>
      <c r="C17" s="28" t="s">
        <v>226</v>
      </c>
      <c r="D17" s="28" t="s">
        <v>227</v>
      </c>
      <c r="E17" s="28" t="s">
        <v>227</v>
      </c>
      <c r="F17" s="28" t="s">
        <v>230</v>
      </c>
      <c r="G17" s="28" t="s">
        <v>227</v>
      </c>
      <c r="H17" s="28" t="s">
        <v>227</v>
      </c>
      <c r="I17" s="28" t="s">
        <v>228</v>
      </c>
      <c r="J17" s="28" t="s">
        <v>227</v>
      </c>
    </row>
  </sheetData>
  <sheetProtection/>
  <mergeCells count="6">
    <mergeCell ref="B7:J8"/>
    <mergeCell ref="B14:J15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N26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4" customWidth="1"/>
    <col min="2" max="2" width="44.421875" style="7" customWidth="1"/>
    <col min="3" max="3" width="3.421875" style="28" customWidth="1"/>
    <col min="4" max="4" width="6.00390625" style="31" customWidth="1"/>
    <col min="5" max="5" width="6.00390625" style="7" customWidth="1"/>
    <col min="6" max="9" width="12.7109375" style="31" customWidth="1"/>
    <col min="10" max="11" width="18.7109375" style="31" customWidth="1"/>
    <col min="12" max="12" width="12.7109375" style="31" customWidth="1"/>
    <col min="13" max="13" width="9.140625" style="31" customWidth="1"/>
    <col min="14" max="14" width="3.421875" style="28" hidden="1" customWidth="1"/>
    <col min="15" max="16384" width="9.140625" style="31" customWidth="1"/>
  </cols>
  <sheetData>
    <row r="2" spans="1:10" s="31" customFormat="1" ht="10.5">
      <c r="A2" s="56"/>
      <c r="B2" s="63"/>
      <c r="C2" s="63"/>
      <c r="D2" s="64"/>
      <c r="E2" s="63"/>
      <c r="F2" s="64"/>
      <c r="G2" s="64"/>
      <c r="H2" s="64"/>
      <c r="I2" s="64"/>
      <c r="J2" s="64"/>
    </row>
    <row r="3" spans="1:10" s="31" customFormat="1" ht="10.5">
      <c r="A3" s="26"/>
      <c r="B3" s="58" t="s">
        <v>166</v>
      </c>
      <c r="C3" s="58"/>
      <c r="D3" s="58"/>
      <c r="E3" s="58"/>
      <c r="F3" s="58"/>
      <c r="G3" s="58"/>
      <c r="H3" s="58"/>
      <c r="I3" s="58"/>
      <c r="J3" s="58"/>
    </row>
    <row r="4" spans="1:10" s="31" customFormat="1" ht="10.5">
      <c r="A4" s="26"/>
      <c r="B4" s="58" t="s">
        <v>167</v>
      </c>
      <c r="C4" s="58"/>
      <c r="D4" s="58"/>
      <c r="E4" s="58"/>
      <c r="F4" s="58"/>
      <c r="G4" s="58"/>
      <c r="H4" s="58"/>
      <c r="I4" s="58"/>
      <c r="J4" s="58"/>
    </row>
    <row r="5" spans="1:10" s="31" customFormat="1" ht="10.5">
      <c r="A5" s="56"/>
      <c r="B5" s="63"/>
      <c r="C5" s="63"/>
      <c r="D5" s="64"/>
      <c r="E5" s="63"/>
      <c r="F5" s="64"/>
      <c r="G5" s="64"/>
      <c r="H5" s="64"/>
      <c r="I5" s="64"/>
      <c r="J5" s="64"/>
    </row>
    <row r="7" spans="1:10" s="31" customFormat="1" ht="10.5">
      <c r="A7" s="24"/>
      <c r="B7" s="50" t="s">
        <v>29</v>
      </c>
      <c r="C7" s="50"/>
      <c r="D7" s="50"/>
      <c r="E7" s="50"/>
      <c r="F7" s="50"/>
      <c r="G7" s="50"/>
      <c r="H7" s="50"/>
      <c r="I7" s="50"/>
      <c r="J7" s="50"/>
    </row>
    <row r="8" spans="2:10" ht="10.5">
      <c r="B8" s="50"/>
      <c r="C8" s="50"/>
      <c r="D8" s="50"/>
      <c r="E8" s="50"/>
      <c r="F8" s="50"/>
      <c r="G8" s="50"/>
      <c r="H8" s="50"/>
      <c r="I8" s="50"/>
      <c r="J8" s="50"/>
    </row>
    <row r="9" spans="1:13" s="25" customFormat="1" ht="10.5">
      <c r="A9" s="8"/>
      <c r="B9" s="25" t="s">
        <v>231</v>
      </c>
      <c r="C9" s="25" t="s">
        <v>232</v>
      </c>
      <c r="D9" s="32" t="s">
        <v>233</v>
      </c>
      <c r="E9" s="25" t="s">
        <v>234</v>
      </c>
      <c r="F9" s="25" t="s">
        <v>235</v>
      </c>
      <c r="G9" s="25" t="s">
        <v>236</v>
      </c>
      <c r="H9" s="25" t="s">
        <v>237</v>
      </c>
      <c r="I9" s="25" t="s">
        <v>238</v>
      </c>
      <c r="J9" s="25" t="s">
        <v>239</v>
      </c>
      <c r="K9" s="25" t="s">
        <v>240</v>
      </c>
      <c r="L9" s="25" t="s">
        <v>241</v>
      </c>
      <c r="M9" s="25" t="s">
        <v>242</v>
      </c>
    </row>
    <row r="10" spans="1:12" s="31" customFormat="1" ht="10.5">
      <c r="A10" s="24">
        <v>1</v>
      </c>
      <c r="B10" s="7" t="s">
        <v>130</v>
      </c>
      <c r="C10" s="28" t="s">
        <v>243</v>
      </c>
      <c r="D10" s="31">
        <v>0</v>
      </c>
      <c r="F10" s="23">
        <f>ROUND(SUM('Базовые цены с учетом расхода'!B9:B12),2)</f>
        <v>2113.86</v>
      </c>
      <c r="G10" s="23">
        <f>ROUND(SUM('Базовые цены с учетом расхода'!C9:C12),2)</f>
        <v>332.56</v>
      </c>
      <c r="H10" s="23">
        <f>ROUND(SUM('Базовые цены с учетом расхода'!D9:D12),2)</f>
        <v>11.62</v>
      </c>
      <c r="I10" s="23">
        <f>ROUND(SUM('Базовые цены с учетом расхода'!E9:E12),2)</f>
        <v>0.65</v>
      </c>
      <c r="J10" s="27" t="e">
        <f>ROUND(SUM('Базовые цены с учетом расхода'!I9:I12),8)</f>
        <v>#NAME?</v>
      </c>
      <c r="K10" s="27" t="e">
        <f>ROUND(SUM('Базовые цены с учетом расхода'!K9:K12),8)</f>
        <v>#NAME?</v>
      </c>
      <c r="L10" s="23">
        <f>ROUND(SUM('Базовые цены с учетом расхода'!F9:F12),2)</f>
        <v>1769.68</v>
      </c>
    </row>
    <row r="11" spans="1:12" ht="10.5">
      <c r="A11" s="24">
        <v>2</v>
      </c>
      <c r="B11" s="7" t="s">
        <v>64</v>
      </c>
      <c r="C11" s="28" t="s">
        <v>244</v>
      </c>
      <c r="D11" s="31">
        <v>0</v>
      </c>
      <c r="F11" s="23">
        <f>ROUND(SUMIF(Определители!I9:I12,"= ",'Базовые цены с учетом расхода'!B9:B12),2)</f>
        <v>0</v>
      </c>
      <c r="G11" s="23">
        <f>ROUND(SUMIF(Определители!I9:I12,"= ",'Базовые цены с учетом расхода'!C9:C12),2)</f>
        <v>0</v>
      </c>
      <c r="H11" s="23">
        <f>ROUND(SUMIF(Определители!I9:I12,"= ",'Базовые цены с учетом расхода'!D9:D12),2)</f>
        <v>0</v>
      </c>
      <c r="I11" s="23">
        <f>ROUND(SUMIF(Определители!I9:I12,"= ",'Базовые цены с учетом расхода'!E9:E12),2)</f>
        <v>0</v>
      </c>
      <c r="J11" s="27">
        <f>ROUND(SUMIF(Определители!I9:I12,"= ",'Базовые цены с учетом расхода'!I9:I12),8)</f>
        <v>0</v>
      </c>
      <c r="K11" s="27">
        <f>ROUND(SUMIF(Определители!I9:I12,"= ",'Базовые цены с учетом расхода'!K9:K12),8)</f>
        <v>0</v>
      </c>
      <c r="L11" s="23">
        <f>ROUND(SUMIF(Определители!I9:I12,"= ",'Базовые цены с учетом расхода'!F9:F12),2)</f>
        <v>0</v>
      </c>
    </row>
    <row r="12" spans="1:12" ht="10.5">
      <c r="A12" s="24">
        <v>3</v>
      </c>
      <c r="B12" s="7" t="s">
        <v>65</v>
      </c>
      <c r="C12" s="28" t="s">
        <v>244</v>
      </c>
      <c r="D12" s="31">
        <v>0</v>
      </c>
      <c r="F12" s="23" t="e">
        <f>ROUND(СУММПРОИЗВЕСЛИ(0.01,Определители!I9:I12," ",'Базовые цены с учетом расхода'!B9:B12,Начисления!X9:X12,0),2)</f>
        <v>#NAME?</v>
      </c>
      <c r="G12" s="23"/>
      <c r="H12" s="23"/>
      <c r="I12" s="23"/>
      <c r="J12" s="27"/>
      <c r="K12" s="27"/>
      <c r="L12" s="23"/>
    </row>
    <row r="13" spans="1:12" ht="10.5">
      <c r="A13" s="24">
        <v>4</v>
      </c>
      <c r="B13" s="7" t="s">
        <v>66</v>
      </c>
      <c r="C13" s="28" t="s">
        <v>244</v>
      </c>
      <c r="D13" s="31">
        <v>0</v>
      </c>
      <c r="F13" s="23" t="e">
        <f>ROUND(СУММПРОИЗВЕСЛИ(0.01,Определители!I9:I12," ",'Базовые цены с учетом расхода'!B9:B12,Начисления!Y9:Y12,0),2)</f>
        <v>#NAME?</v>
      </c>
      <c r="G13" s="23"/>
      <c r="H13" s="23"/>
      <c r="I13" s="23"/>
      <c r="J13" s="27"/>
      <c r="K13" s="27"/>
      <c r="L13" s="23"/>
    </row>
    <row r="14" spans="1:12" ht="10.5">
      <c r="A14" s="24">
        <v>5</v>
      </c>
      <c r="B14" s="7" t="s">
        <v>67</v>
      </c>
      <c r="C14" s="28" t="s">
        <v>244</v>
      </c>
      <c r="D14" s="31">
        <v>0</v>
      </c>
      <c r="F14" s="23" t="e">
        <f>ROUND(ТРАНСПРАСХОД(Определители!B9:B12,Определители!H9:H12,Определители!I9:I12,'Базовые цены с учетом расхода'!B9:B12,Начисления!Z9:Z12,Начисления!AA9:AA12),2)</f>
        <v>#NAME?</v>
      </c>
      <c r="G14" s="23"/>
      <c r="H14" s="23"/>
      <c r="I14" s="23"/>
      <c r="J14" s="27"/>
      <c r="K14" s="27"/>
      <c r="L14" s="23"/>
    </row>
    <row r="15" spans="1:12" ht="10.5">
      <c r="A15" s="24">
        <v>6</v>
      </c>
      <c r="B15" s="7" t="s">
        <v>68</v>
      </c>
      <c r="C15" s="28" t="s">
        <v>244</v>
      </c>
      <c r="D15" s="31">
        <v>0</v>
      </c>
      <c r="F15" s="23" t="e">
        <f>ROUND(СУММПРОИЗВЕСЛИ(0.01,Определители!I9:I12," ",'Базовые цены с учетом расхода'!B9:B12,Начисления!AC9:AC12,0),2)</f>
        <v>#NAME?</v>
      </c>
      <c r="G15" s="23"/>
      <c r="H15" s="23"/>
      <c r="I15" s="23"/>
      <c r="J15" s="27"/>
      <c r="K15" s="27"/>
      <c r="L15" s="23"/>
    </row>
    <row r="16" spans="1:12" ht="10.5">
      <c r="A16" s="24">
        <v>7</v>
      </c>
      <c r="B16" s="7" t="s">
        <v>69</v>
      </c>
      <c r="C16" s="28" t="s">
        <v>244</v>
      </c>
      <c r="D16" s="31">
        <v>0</v>
      </c>
      <c r="F16" s="23" t="e">
        <f>ROUND(СУММПРОИЗВЕСЛИ(0.01,Определители!I9:I12," ",'Базовые цены с учетом расхода'!B9:B12,Начисления!AF9:AF12,0),2)</f>
        <v>#NAME?</v>
      </c>
      <c r="G16" s="23"/>
      <c r="H16" s="23"/>
      <c r="I16" s="23"/>
      <c r="J16" s="27"/>
      <c r="K16" s="27"/>
      <c r="L16" s="23"/>
    </row>
    <row r="17" spans="1:12" ht="10.5">
      <c r="A17" s="24">
        <v>8</v>
      </c>
      <c r="B17" s="7" t="s">
        <v>70</v>
      </c>
      <c r="C17" s="28" t="s">
        <v>244</v>
      </c>
      <c r="D17" s="31">
        <v>0</v>
      </c>
      <c r="F17" s="23" t="e">
        <f>ROUND(ЗАГОТСКЛАДРАСХОД(Определители!B9:B12,Определители!H9:H12,Определители!I9:I12,'Базовые цены с учетом расхода'!B9:B12,Начисления!X9:X12,Начисления!Y9:Y12,Начисления!Z9:Z12,Начисления!AA9:AA12,Начисления!AB9:AB12,Начисления!AC9:AC12,Начисления!AF9:AF12),2)</f>
        <v>#NAME?</v>
      </c>
      <c r="G17" s="23"/>
      <c r="H17" s="23"/>
      <c r="I17" s="23"/>
      <c r="J17" s="27"/>
      <c r="K17" s="27"/>
      <c r="L17" s="23"/>
    </row>
    <row r="18" spans="1:12" ht="10.5">
      <c r="A18" s="24">
        <v>9</v>
      </c>
      <c r="B18" s="7" t="s">
        <v>71</v>
      </c>
      <c r="C18" s="28" t="s">
        <v>244</v>
      </c>
      <c r="D18" s="31">
        <v>0</v>
      </c>
      <c r="F18" s="23" t="e">
        <f>ROUND(СУММПРОИЗВЕСЛИ(1,Определители!I9:I12," ",'Базовые цены с учетом расхода'!M9:M12,Начисления!I9:I12,0),2)</f>
        <v>#NAME?</v>
      </c>
      <c r="G18" s="23"/>
      <c r="H18" s="23"/>
      <c r="I18" s="23"/>
      <c r="J18" s="27"/>
      <c r="K18" s="27"/>
      <c r="L18" s="23"/>
    </row>
    <row r="19" spans="1:12" ht="10.5">
      <c r="A19" s="24">
        <v>10</v>
      </c>
      <c r="B19" s="7" t="s">
        <v>72</v>
      </c>
      <c r="C19" s="28" t="s">
        <v>245</v>
      </c>
      <c r="D19" s="31">
        <v>0</v>
      </c>
      <c r="F19" s="23" t="e">
        <f>ROUND((F18+F29+F49),2)</f>
        <v>#NAME?</v>
      </c>
      <c r="G19" s="23"/>
      <c r="H19" s="23"/>
      <c r="I19" s="23"/>
      <c r="J19" s="27"/>
      <c r="K19" s="27"/>
      <c r="L19" s="23"/>
    </row>
    <row r="20" spans="1:12" ht="10.5">
      <c r="A20" s="24">
        <v>11</v>
      </c>
      <c r="B20" s="7" t="s">
        <v>73</v>
      </c>
      <c r="C20" s="28" t="s">
        <v>245</v>
      </c>
      <c r="D20" s="31">
        <v>0</v>
      </c>
      <c r="F20" s="23" t="e">
        <f>ROUND((F11+F12+F13+F14+F15+F16+F17+F19),2)</f>
        <v>#NAME?</v>
      </c>
      <c r="G20" s="23"/>
      <c r="H20" s="23"/>
      <c r="I20" s="23"/>
      <c r="J20" s="27"/>
      <c r="K20" s="27"/>
      <c r="L20" s="23"/>
    </row>
    <row r="21" spans="1:12" ht="10.5">
      <c r="A21" s="24">
        <v>12</v>
      </c>
      <c r="B21" s="7" t="s">
        <v>74</v>
      </c>
      <c r="C21" s="28" t="s">
        <v>244</v>
      </c>
      <c r="D21" s="31">
        <v>0</v>
      </c>
      <c r="F21" s="23">
        <f>ROUND(SUMIF(Определители!I9:I12,"=1",'Базовые цены с учетом расхода'!B9:B12),2)</f>
        <v>0</v>
      </c>
      <c r="G21" s="23">
        <f>ROUND(SUMIF(Определители!I9:I12,"=1",'Базовые цены с учетом расхода'!C9:C12),2)</f>
        <v>0</v>
      </c>
      <c r="H21" s="23">
        <f>ROUND(SUMIF(Определители!I9:I12,"=1",'Базовые цены с учетом расхода'!D9:D12),2)</f>
        <v>0</v>
      </c>
      <c r="I21" s="23">
        <f>ROUND(SUMIF(Определители!I9:I12,"=1",'Базовые цены с учетом расхода'!E9:E12),2)</f>
        <v>0</v>
      </c>
      <c r="J21" s="27">
        <f>ROUND(SUMIF(Определители!I9:I12,"=1",'Базовые цены с учетом расхода'!I9:I12),8)</f>
        <v>0</v>
      </c>
      <c r="K21" s="27">
        <f>ROUND(SUMIF(Определители!I9:I12,"=1",'Базовые цены с учетом расхода'!K9:K12),8)</f>
        <v>0</v>
      </c>
      <c r="L21" s="23">
        <f>ROUND(SUMIF(Определители!I9:I12,"=1",'Базовые цены с учетом расхода'!F9:F12),2)</f>
        <v>0</v>
      </c>
    </row>
    <row r="22" spans="1:12" ht="10.5">
      <c r="A22" s="24">
        <v>13</v>
      </c>
      <c r="B22" s="7" t="s">
        <v>75</v>
      </c>
      <c r="C22" s="28" t="s">
        <v>244</v>
      </c>
      <c r="D22" s="31">
        <v>0</v>
      </c>
      <c r="F22" s="23"/>
      <c r="G22" s="23"/>
      <c r="H22" s="23"/>
      <c r="I22" s="23"/>
      <c r="J22" s="27"/>
      <c r="K22" s="27"/>
      <c r="L22" s="23"/>
    </row>
    <row r="23" spans="1:12" ht="10.5">
      <c r="A23" s="24">
        <v>14</v>
      </c>
      <c r="B23" s="7" t="s">
        <v>76</v>
      </c>
      <c r="C23" s="28" t="s">
        <v>244</v>
      </c>
      <c r="D23" s="31">
        <v>0</v>
      </c>
      <c r="F23" s="23"/>
      <c r="G23" s="23">
        <f>ROUND(SUMIF(Определители!I9:I12,"=1",'Базовые цены с учетом расхода'!U9:U12),2)</f>
        <v>0</v>
      </c>
      <c r="H23" s="23"/>
      <c r="I23" s="23"/>
      <c r="J23" s="27"/>
      <c r="K23" s="27"/>
      <c r="L23" s="23"/>
    </row>
    <row r="24" spans="1:12" ht="10.5">
      <c r="A24" s="24">
        <v>15</v>
      </c>
      <c r="B24" s="7" t="s">
        <v>77</v>
      </c>
      <c r="C24" s="28" t="s">
        <v>244</v>
      </c>
      <c r="D24" s="31">
        <v>0</v>
      </c>
      <c r="F24" s="23">
        <f>ROUND(SUMIF(Определители!I9:I12,"=1",'Базовые цены с учетом расхода'!V9:V12),2)</f>
        <v>0</v>
      </c>
      <c r="G24" s="23"/>
      <c r="H24" s="23"/>
      <c r="I24" s="23"/>
      <c r="J24" s="27"/>
      <c r="K24" s="27"/>
      <c r="L24" s="23"/>
    </row>
    <row r="25" spans="1:12" ht="10.5">
      <c r="A25" s="24">
        <v>16</v>
      </c>
      <c r="B25" s="7" t="s">
        <v>78</v>
      </c>
      <c r="C25" s="28" t="s">
        <v>244</v>
      </c>
      <c r="D25" s="31">
        <v>0</v>
      </c>
      <c r="F25" s="23" t="e">
        <f>ROUND(СУММЕСЛИ2(Определители!I9:I12,"1",Определители!G9:G12,"1",'Базовые цены с учетом расхода'!B9:B12),2)</f>
        <v>#NAME?</v>
      </c>
      <c r="G25" s="23"/>
      <c r="H25" s="23"/>
      <c r="I25" s="23"/>
      <c r="J25" s="27"/>
      <c r="K25" s="27"/>
      <c r="L25" s="23"/>
    </row>
    <row r="26" spans="1:12" ht="10.5">
      <c r="A26" s="24">
        <v>17</v>
      </c>
      <c r="B26" s="7" t="s">
        <v>79</v>
      </c>
      <c r="C26" s="28" t="s">
        <v>244</v>
      </c>
      <c r="D26" s="31">
        <v>0</v>
      </c>
      <c r="F26" s="23">
        <f>ROUND(SUMIF(Определители!I9:I12,"=1",'Базовые цены с учетом расхода'!H9:H12),2)</f>
        <v>0</v>
      </c>
      <c r="G26" s="23"/>
      <c r="H26" s="23"/>
      <c r="I26" s="23"/>
      <c r="J26" s="27"/>
      <c r="K26" s="27"/>
      <c r="L26" s="23"/>
    </row>
    <row r="27" spans="1:12" ht="10.5">
      <c r="A27" s="24">
        <v>18</v>
      </c>
      <c r="B27" s="7" t="s">
        <v>80</v>
      </c>
      <c r="C27" s="28" t="s">
        <v>244</v>
      </c>
      <c r="D27" s="31">
        <v>0</v>
      </c>
      <c r="F27" s="23">
        <f>ROUND(SUMIF(Определители!I9:I12,"=1",'Базовые цены с учетом расхода'!N9:N12),2)</f>
        <v>0</v>
      </c>
      <c r="G27" s="23"/>
      <c r="H27" s="23"/>
      <c r="I27" s="23"/>
      <c r="J27" s="27"/>
      <c r="K27" s="27"/>
      <c r="L27" s="23"/>
    </row>
    <row r="28" spans="1:12" ht="10.5">
      <c r="A28" s="24">
        <v>19</v>
      </c>
      <c r="B28" s="7" t="s">
        <v>81</v>
      </c>
      <c r="C28" s="28" t="s">
        <v>244</v>
      </c>
      <c r="D28" s="31">
        <v>0</v>
      </c>
      <c r="F28" s="23">
        <f>ROUND(SUMIF(Определители!I9:I12,"=1",'Базовые цены с учетом расхода'!O9:O12),2)</f>
        <v>0</v>
      </c>
      <c r="G28" s="23"/>
      <c r="H28" s="23"/>
      <c r="I28" s="23"/>
      <c r="J28" s="27"/>
      <c r="K28" s="27"/>
      <c r="L28" s="23"/>
    </row>
    <row r="29" spans="1:12" ht="10.5">
      <c r="A29" s="24">
        <v>20</v>
      </c>
      <c r="B29" s="7" t="s">
        <v>72</v>
      </c>
      <c r="C29" s="28" t="s">
        <v>244</v>
      </c>
      <c r="D29" s="31">
        <v>0</v>
      </c>
      <c r="F29" s="23" t="e">
        <f>ROUND(СУММПРОИЗВЕСЛИ(1,Определители!I9:I12," ",'Базовые цены с учетом расхода'!M9:M12,Начисления!I9:I12,0),2)</f>
        <v>#NAME?</v>
      </c>
      <c r="G29" s="23"/>
      <c r="H29" s="23"/>
      <c r="I29" s="23"/>
      <c r="J29" s="27"/>
      <c r="K29" s="27"/>
      <c r="L29" s="23"/>
    </row>
    <row r="30" spans="1:12" ht="10.5">
      <c r="A30" s="24">
        <v>21</v>
      </c>
      <c r="B30" s="7" t="s">
        <v>82</v>
      </c>
      <c r="C30" s="28" t="s">
        <v>245</v>
      </c>
      <c r="D30" s="31">
        <v>0</v>
      </c>
      <c r="F30" s="23">
        <f>ROUND((F21+F27+F28),2)</f>
        <v>0</v>
      </c>
      <c r="G30" s="23"/>
      <c r="H30" s="23"/>
      <c r="I30" s="23"/>
      <c r="J30" s="27"/>
      <c r="K30" s="27"/>
      <c r="L30" s="23"/>
    </row>
    <row r="31" spans="1:12" ht="10.5">
      <c r="A31" s="24">
        <v>22</v>
      </c>
      <c r="B31" s="7" t="s">
        <v>83</v>
      </c>
      <c r="C31" s="28" t="s">
        <v>244</v>
      </c>
      <c r="D31" s="31">
        <v>0</v>
      </c>
      <c r="F31" s="23">
        <f>ROUND(SUMIF(Определители!I9:I12,"=2",'Базовые цены с учетом расхода'!B9:B12),2)</f>
        <v>5.6</v>
      </c>
      <c r="G31" s="23">
        <f>ROUND(SUMIF(Определители!I9:I12,"=2",'Базовые цены с учетом расхода'!C9:C12),2)</f>
        <v>0</v>
      </c>
      <c r="H31" s="23">
        <f>ROUND(SUMIF(Определители!I9:I12,"=2",'Базовые цены с учетом расхода'!D9:D12),2)</f>
        <v>4.25</v>
      </c>
      <c r="I31" s="23">
        <f>ROUND(SUMIF(Определители!I9:I12,"=2",'Базовые цены с учетом расхода'!E9:E12),2)</f>
        <v>0</v>
      </c>
      <c r="J31" s="27" t="e">
        <f>ROUND(SUMIF(Определители!I9:I12,"=2",'Базовые цены с учетом расхода'!I9:I12),8)</f>
        <v>#NAME?</v>
      </c>
      <c r="K31" s="27" t="e">
        <f>ROUND(SUMIF(Определители!I9:I12,"=2",'Базовые цены с учетом расхода'!K9:K12),8)</f>
        <v>#NAME?</v>
      </c>
      <c r="L31" s="23">
        <f>ROUND(SUMIF(Определители!I9:I12,"=2",'Базовые цены с учетом расхода'!F9:F12),2)</f>
        <v>1.35</v>
      </c>
    </row>
    <row r="32" spans="1:12" ht="10.5">
      <c r="A32" s="24">
        <v>23</v>
      </c>
      <c r="B32" s="7" t="s">
        <v>75</v>
      </c>
      <c r="C32" s="28" t="s">
        <v>244</v>
      </c>
      <c r="D32" s="31">
        <v>0</v>
      </c>
      <c r="F32" s="23"/>
      <c r="G32" s="23"/>
      <c r="H32" s="23"/>
      <c r="I32" s="23"/>
      <c r="J32" s="27"/>
      <c r="K32" s="27"/>
      <c r="L32" s="23"/>
    </row>
    <row r="33" spans="1:12" ht="10.5">
      <c r="A33" s="24">
        <v>24</v>
      </c>
      <c r="B33" s="7" t="s">
        <v>84</v>
      </c>
      <c r="C33" s="28" t="s">
        <v>244</v>
      </c>
      <c r="D33" s="31">
        <v>0</v>
      </c>
      <c r="F33" s="23" t="e">
        <f>ROUND(СУММЕСЛИ2(Определители!I9:I12,"2",Определители!G9:G12,"1",'Базовые цены с учетом расхода'!B9:B12),2)</f>
        <v>#NAME?</v>
      </c>
      <c r="G33" s="23"/>
      <c r="H33" s="23"/>
      <c r="I33" s="23"/>
      <c r="J33" s="27"/>
      <c r="K33" s="27"/>
      <c r="L33" s="23"/>
    </row>
    <row r="34" spans="1:12" ht="10.5">
      <c r="A34" s="24">
        <v>25</v>
      </c>
      <c r="B34" s="7" t="s">
        <v>79</v>
      </c>
      <c r="C34" s="28" t="s">
        <v>244</v>
      </c>
      <c r="D34" s="31">
        <v>0</v>
      </c>
      <c r="F34" s="23">
        <f>ROUND(SUMIF(Определители!I9:I12,"=2",'Базовые цены с учетом расхода'!H9:H12),2)</f>
        <v>0</v>
      </c>
      <c r="G34" s="23"/>
      <c r="H34" s="23"/>
      <c r="I34" s="23"/>
      <c r="J34" s="27"/>
      <c r="K34" s="27"/>
      <c r="L34" s="23"/>
    </row>
    <row r="35" spans="1:12" ht="10.5">
      <c r="A35" s="24">
        <v>26</v>
      </c>
      <c r="B35" s="7" t="s">
        <v>80</v>
      </c>
      <c r="C35" s="28" t="s">
        <v>244</v>
      </c>
      <c r="D35" s="31">
        <v>0</v>
      </c>
      <c r="F35" s="23">
        <f>ROUND(SUMIF(Определители!I9:I12,"=2",'Базовые цены с учетом расхода'!N9:N12),2)</f>
        <v>0</v>
      </c>
      <c r="G35" s="23"/>
      <c r="H35" s="23"/>
      <c r="I35" s="23"/>
      <c r="J35" s="27"/>
      <c r="K35" s="27"/>
      <c r="L35" s="23"/>
    </row>
    <row r="36" spans="1:12" ht="10.5">
      <c r="A36" s="24">
        <v>27</v>
      </c>
      <c r="B36" s="7" t="s">
        <v>81</v>
      </c>
      <c r="C36" s="28" t="s">
        <v>244</v>
      </c>
      <c r="D36" s="31">
        <v>0</v>
      </c>
      <c r="F36" s="23">
        <f>ROUND(SUMIF(Определители!I9:I12,"=2",'Базовые цены с учетом расхода'!O9:O12),2)</f>
        <v>0</v>
      </c>
      <c r="G36" s="23"/>
      <c r="H36" s="23"/>
      <c r="I36" s="23"/>
      <c r="J36" s="27"/>
      <c r="K36" s="27"/>
      <c r="L36" s="23"/>
    </row>
    <row r="37" spans="1:12" ht="10.5">
      <c r="A37" s="24">
        <v>28</v>
      </c>
      <c r="B37" s="7" t="s">
        <v>85</v>
      </c>
      <c r="C37" s="28" t="s">
        <v>245</v>
      </c>
      <c r="D37" s="31">
        <v>0</v>
      </c>
      <c r="F37" s="23">
        <f>ROUND((F31+F35+F36),2)</f>
        <v>5.6</v>
      </c>
      <c r="G37" s="23"/>
      <c r="H37" s="23"/>
      <c r="I37" s="23"/>
      <c r="J37" s="27"/>
      <c r="K37" s="27"/>
      <c r="L37" s="23"/>
    </row>
    <row r="38" spans="1:12" ht="10.5">
      <c r="A38" s="24">
        <v>29</v>
      </c>
      <c r="B38" s="7" t="s">
        <v>86</v>
      </c>
      <c r="C38" s="28" t="s">
        <v>244</v>
      </c>
      <c r="D38" s="31">
        <v>0</v>
      </c>
      <c r="F38" s="23">
        <f>ROUND(SUMIF(Определители!I9:I12,"=3",'Базовые цены с учетом расхода'!B9:B12),2)</f>
        <v>0</v>
      </c>
      <c r="G38" s="23">
        <f>ROUND(SUMIF(Определители!I9:I12,"=3",'Базовые цены с учетом расхода'!C9:C12),2)</f>
        <v>0</v>
      </c>
      <c r="H38" s="23">
        <f>ROUND(SUMIF(Определители!I9:I12,"=3",'Базовые цены с учетом расхода'!D9:D12),2)</f>
        <v>0</v>
      </c>
      <c r="I38" s="23">
        <f>ROUND(SUMIF(Определители!I9:I12,"=3",'Базовые цены с учетом расхода'!E9:E12),2)</f>
        <v>0</v>
      </c>
      <c r="J38" s="27">
        <f>ROUND(SUMIF(Определители!I9:I12,"=3",'Базовые цены с учетом расхода'!I9:I12),8)</f>
        <v>0</v>
      </c>
      <c r="K38" s="27">
        <f>ROUND(SUMIF(Определители!I9:I12,"=3",'Базовые цены с учетом расхода'!K9:K12),8)</f>
        <v>0</v>
      </c>
      <c r="L38" s="23">
        <f>ROUND(SUMIF(Определители!I9:I12,"=3",'Базовые цены с учетом расхода'!F9:F12),2)</f>
        <v>0</v>
      </c>
    </row>
    <row r="39" spans="1:12" ht="10.5">
      <c r="A39" s="24">
        <v>30</v>
      </c>
      <c r="B39" s="7" t="s">
        <v>79</v>
      </c>
      <c r="C39" s="28" t="s">
        <v>244</v>
      </c>
      <c r="D39" s="31">
        <v>0</v>
      </c>
      <c r="F39" s="23">
        <f>ROUND(SUMIF(Определители!I9:I12,"=3",'Базовые цены с учетом расхода'!H9:H12),2)</f>
        <v>0</v>
      </c>
      <c r="G39" s="23"/>
      <c r="H39" s="23"/>
      <c r="I39" s="23"/>
      <c r="J39" s="27"/>
      <c r="K39" s="27"/>
      <c r="L39" s="23"/>
    </row>
    <row r="40" spans="1:12" ht="10.5">
      <c r="A40" s="24">
        <v>31</v>
      </c>
      <c r="B40" s="7" t="s">
        <v>80</v>
      </c>
      <c r="C40" s="28" t="s">
        <v>244</v>
      </c>
      <c r="D40" s="31">
        <v>0</v>
      </c>
      <c r="F40" s="23">
        <f>ROUND(SUMIF(Определители!I9:I12,"=3",'Базовые цены с учетом расхода'!N9:N12),2)</f>
        <v>0</v>
      </c>
      <c r="G40" s="23"/>
      <c r="H40" s="23"/>
      <c r="I40" s="23"/>
      <c r="J40" s="27"/>
      <c r="K40" s="27"/>
      <c r="L40" s="23"/>
    </row>
    <row r="41" spans="1:12" ht="10.5">
      <c r="A41" s="24">
        <v>32</v>
      </c>
      <c r="B41" s="7" t="s">
        <v>81</v>
      </c>
      <c r="C41" s="28" t="s">
        <v>244</v>
      </c>
      <c r="D41" s="31">
        <v>0</v>
      </c>
      <c r="F41" s="23">
        <f>ROUND(SUMIF(Определители!I9:I12,"=3",'Базовые цены с учетом расхода'!O9:O12),2)</f>
        <v>0</v>
      </c>
      <c r="G41" s="23"/>
      <c r="H41" s="23"/>
      <c r="I41" s="23"/>
      <c r="J41" s="27"/>
      <c r="K41" s="27"/>
      <c r="L41" s="23"/>
    </row>
    <row r="42" spans="1:12" ht="10.5">
      <c r="A42" s="24">
        <v>33</v>
      </c>
      <c r="B42" s="7" t="s">
        <v>87</v>
      </c>
      <c r="C42" s="28" t="s">
        <v>245</v>
      </c>
      <c r="D42" s="31">
        <v>0</v>
      </c>
      <c r="F42" s="23">
        <f>ROUND((F38+F40+F41),2)</f>
        <v>0</v>
      </c>
      <c r="G42" s="23"/>
      <c r="H42" s="23"/>
      <c r="I42" s="23"/>
      <c r="J42" s="27"/>
      <c r="K42" s="27"/>
      <c r="L42" s="23"/>
    </row>
    <row r="43" spans="1:12" ht="10.5">
      <c r="A43" s="24">
        <v>34</v>
      </c>
      <c r="B43" s="7" t="s">
        <v>88</v>
      </c>
      <c r="C43" s="28" t="s">
        <v>244</v>
      </c>
      <c r="D43" s="31">
        <v>0</v>
      </c>
      <c r="F43" s="23">
        <f>ROUND(SUMIF(Определители!I9:I12,"=4",'Базовые цены с учетом расхода'!B9:B12),2)</f>
        <v>2108.26</v>
      </c>
      <c r="G43" s="23">
        <f>ROUND(SUMIF(Определители!I9:I12,"=4",'Базовые цены с учетом расхода'!C9:C12),2)</f>
        <v>332.56</v>
      </c>
      <c r="H43" s="23">
        <f>ROUND(SUMIF(Определители!I9:I12,"=4",'Базовые цены с учетом расхода'!D9:D12),2)</f>
        <v>7.37</v>
      </c>
      <c r="I43" s="23">
        <f>ROUND(SUMIF(Определители!I9:I12,"=4",'Базовые цены с учетом расхода'!E9:E12),2)</f>
        <v>0.65</v>
      </c>
      <c r="J43" s="27" t="e">
        <f>ROUND(SUMIF(Определители!I9:I12,"=4",'Базовые цены с учетом расхода'!I9:I12),8)</f>
        <v>#NAME?</v>
      </c>
      <c r="K43" s="27" t="e">
        <f>ROUND(SUMIF(Определители!I9:I12,"=4",'Базовые цены с учетом расхода'!K9:K12),8)</f>
        <v>#NAME?</v>
      </c>
      <c r="L43" s="23">
        <f>ROUND(SUMIF(Определители!I9:I12,"=4",'Базовые цены с учетом расхода'!F9:F12),2)</f>
        <v>1768.33</v>
      </c>
    </row>
    <row r="44" spans="1:12" ht="10.5">
      <c r="A44" s="24">
        <v>35</v>
      </c>
      <c r="B44" s="7" t="s">
        <v>75</v>
      </c>
      <c r="C44" s="28" t="s">
        <v>244</v>
      </c>
      <c r="D44" s="31">
        <v>0</v>
      </c>
      <c r="F44" s="23"/>
      <c r="G44" s="23"/>
      <c r="H44" s="23"/>
      <c r="I44" s="23"/>
      <c r="J44" s="27"/>
      <c r="K44" s="27"/>
      <c r="L44" s="23"/>
    </row>
    <row r="45" spans="1:12" ht="10.5">
      <c r="A45" s="24">
        <v>36</v>
      </c>
      <c r="B45" s="7" t="s">
        <v>89</v>
      </c>
      <c r="C45" s="28" t="s">
        <v>244</v>
      </c>
      <c r="D45" s="31">
        <v>0</v>
      </c>
      <c r="F45" s="23"/>
      <c r="G45" s="23"/>
      <c r="H45" s="23"/>
      <c r="I45" s="23"/>
      <c r="J45" s="27"/>
      <c r="K45" s="27"/>
      <c r="L45" s="23"/>
    </row>
    <row r="46" spans="1:12" ht="10.5">
      <c r="A46" s="24">
        <v>37</v>
      </c>
      <c r="B46" s="7" t="s">
        <v>79</v>
      </c>
      <c r="C46" s="28" t="s">
        <v>244</v>
      </c>
      <c r="D46" s="31">
        <v>0</v>
      </c>
      <c r="F46" s="23">
        <f>ROUND(SUMIF(Определители!I9:I12,"=4",'Базовые цены с учетом расхода'!H9:H12),2)</f>
        <v>0</v>
      </c>
      <c r="G46" s="23"/>
      <c r="H46" s="23"/>
      <c r="I46" s="23"/>
      <c r="J46" s="27"/>
      <c r="K46" s="27"/>
      <c r="L46" s="23"/>
    </row>
    <row r="47" spans="1:12" ht="10.5">
      <c r="A47" s="24">
        <v>38</v>
      </c>
      <c r="B47" s="7" t="s">
        <v>80</v>
      </c>
      <c r="C47" s="28" t="s">
        <v>244</v>
      </c>
      <c r="D47" s="31">
        <v>0</v>
      </c>
      <c r="F47" s="23">
        <f>ROUND(SUMIF(Определители!I9:I12,"=4",'Базовые цены с учетом расхода'!N9:N12),2)</f>
        <v>343.21</v>
      </c>
      <c r="G47" s="23"/>
      <c r="H47" s="23"/>
      <c r="I47" s="23"/>
      <c r="J47" s="27"/>
      <c r="K47" s="27"/>
      <c r="L47" s="23"/>
    </row>
    <row r="48" spans="1:12" ht="10.5">
      <c r="A48" s="24">
        <v>39</v>
      </c>
      <c r="B48" s="7" t="s">
        <v>81</v>
      </c>
      <c r="C48" s="28" t="s">
        <v>244</v>
      </c>
      <c r="D48" s="31">
        <v>0</v>
      </c>
      <c r="F48" s="23">
        <f>ROUND(SUMIF(Определители!I9:I12,"=4",'Базовые цены с учетом расхода'!O9:O12),2)</f>
        <v>199.92</v>
      </c>
      <c r="G48" s="23"/>
      <c r="H48" s="23"/>
      <c r="I48" s="23"/>
      <c r="J48" s="27"/>
      <c r="K48" s="27"/>
      <c r="L48" s="23"/>
    </row>
    <row r="49" spans="1:12" ht="10.5">
      <c r="A49" s="24">
        <v>40</v>
      </c>
      <c r="B49" s="7" t="s">
        <v>72</v>
      </c>
      <c r="C49" s="28" t="s">
        <v>244</v>
      </c>
      <c r="D49" s="31">
        <v>0</v>
      </c>
      <c r="F49" s="23" t="e">
        <f>ROUND(СУММПРОИЗВЕСЛИ(1,Определители!I9:I12," ",'Базовые цены с учетом расхода'!M9:M12,Начисления!I9:I12,0),2)</f>
        <v>#NAME?</v>
      </c>
      <c r="G49" s="23"/>
      <c r="H49" s="23"/>
      <c r="I49" s="23"/>
      <c r="J49" s="27"/>
      <c r="K49" s="27"/>
      <c r="L49" s="23"/>
    </row>
    <row r="50" spans="1:12" ht="10.5">
      <c r="A50" s="24">
        <v>41</v>
      </c>
      <c r="B50" s="7" t="s">
        <v>92</v>
      </c>
      <c r="C50" s="28" t="s">
        <v>245</v>
      </c>
      <c r="D50" s="31">
        <v>0</v>
      </c>
      <c r="F50" s="23">
        <f>ROUND((F43+F47+F48),2)</f>
        <v>2651.39</v>
      </c>
      <c r="G50" s="23"/>
      <c r="H50" s="23"/>
      <c r="I50" s="23"/>
      <c r="J50" s="27"/>
      <c r="K50" s="27"/>
      <c r="L50" s="23"/>
    </row>
    <row r="51" spans="1:12" ht="10.5">
      <c r="A51" s="24">
        <v>42</v>
      </c>
      <c r="B51" s="7" t="s">
        <v>93</v>
      </c>
      <c r="C51" s="28" t="s">
        <v>244</v>
      </c>
      <c r="D51" s="31">
        <v>0</v>
      </c>
      <c r="F51" s="23">
        <f>ROUND(SUMIF(Определители!I9:I12,"=5",'Базовые цены с учетом расхода'!B9:B12),2)</f>
        <v>0</v>
      </c>
      <c r="G51" s="23">
        <f>ROUND(SUMIF(Определители!I9:I12,"=5",'Базовые цены с учетом расхода'!C9:C12),2)</f>
        <v>0</v>
      </c>
      <c r="H51" s="23">
        <f>ROUND(SUMIF(Определители!I9:I12,"=5",'Базовые цены с учетом расхода'!D9:D12),2)</f>
        <v>0</v>
      </c>
      <c r="I51" s="23">
        <f>ROUND(SUMIF(Определители!I9:I12,"=5",'Базовые цены с учетом расхода'!E9:E12),2)</f>
        <v>0</v>
      </c>
      <c r="J51" s="27">
        <f>ROUND(SUMIF(Определители!I9:I12,"=5",'Базовые цены с учетом расхода'!I9:I12),8)</f>
        <v>0</v>
      </c>
      <c r="K51" s="27">
        <f>ROUND(SUMIF(Определители!I9:I12,"=5",'Базовые цены с учетом расхода'!K9:K12),8)</f>
        <v>0</v>
      </c>
      <c r="L51" s="23">
        <f>ROUND(SUMIF(Определители!I9:I12,"=5",'Базовые цены с учетом расхода'!F9:F12),2)</f>
        <v>0</v>
      </c>
    </row>
    <row r="52" spans="1:12" ht="10.5">
      <c r="A52" s="24">
        <v>43</v>
      </c>
      <c r="B52" s="7" t="s">
        <v>79</v>
      </c>
      <c r="C52" s="28" t="s">
        <v>244</v>
      </c>
      <c r="D52" s="31">
        <v>0</v>
      </c>
      <c r="F52" s="23">
        <f>ROUND(SUMIF(Определители!I9:I12,"=5",'Базовые цены с учетом расхода'!H9:H12),2)</f>
        <v>0</v>
      </c>
      <c r="G52" s="23"/>
      <c r="H52" s="23"/>
      <c r="I52" s="23"/>
      <c r="J52" s="27"/>
      <c r="K52" s="27"/>
      <c r="L52" s="23"/>
    </row>
    <row r="53" spans="1:12" ht="10.5">
      <c r="A53" s="24">
        <v>44</v>
      </c>
      <c r="B53" s="7" t="s">
        <v>80</v>
      </c>
      <c r="C53" s="28" t="s">
        <v>244</v>
      </c>
      <c r="D53" s="31">
        <v>0</v>
      </c>
      <c r="F53" s="23">
        <f>ROUND(SUMIF(Определители!I9:I12,"=5",'Базовые цены с учетом расхода'!N9:N12),2)</f>
        <v>0</v>
      </c>
      <c r="G53" s="23"/>
      <c r="H53" s="23"/>
      <c r="I53" s="23"/>
      <c r="J53" s="27"/>
      <c r="K53" s="27"/>
      <c r="L53" s="23"/>
    </row>
    <row r="54" spans="1:12" ht="10.5">
      <c r="A54" s="24">
        <v>45</v>
      </c>
      <c r="B54" s="7" t="s">
        <v>81</v>
      </c>
      <c r="C54" s="28" t="s">
        <v>244</v>
      </c>
      <c r="D54" s="31">
        <v>0</v>
      </c>
      <c r="F54" s="23">
        <f>ROUND(SUMIF(Определители!I9:I12,"=5",'Базовые цены с учетом расхода'!O9:O12),2)</f>
        <v>0</v>
      </c>
      <c r="G54" s="23"/>
      <c r="H54" s="23"/>
      <c r="I54" s="23"/>
      <c r="J54" s="27"/>
      <c r="K54" s="27"/>
      <c r="L54" s="23"/>
    </row>
    <row r="55" spans="1:12" ht="10.5">
      <c r="A55" s="24">
        <v>46</v>
      </c>
      <c r="B55" s="7" t="s">
        <v>94</v>
      </c>
      <c r="C55" s="28" t="s">
        <v>245</v>
      </c>
      <c r="D55" s="31">
        <v>0</v>
      </c>
      <c r="F55" s="23">
        <f>ROUND((F51+F53+F54),2)</f>
        <v>0</v>
      </c>
      <c r="G55" s="23"/>
      <c r="H55" s="23"/>
      <c r="I55" s="23"/>
      <c r="J55" s="27"/>
      <c r="K55" s="27"/>
      <c r="L55" s="23"/>
    </row>
    <row r="56" spans="1:12" ht="10.5">
      <c r="A56" s="24">
        <v>47</v>
      </c>
      <c r="B56" s="7" t="s">
        <v>95</v>
      </c>
      <c r="C56" s="28" t="s">
        <v>244</v>
      </c>
      <c r="D56" s="31">
        <v>0</v>
      </c>
      <c r="F56" s="23">
        <f>ROUND(SUMIF(Определители!I9:I12,"=6",'Базовые цены с учетом расхода'!B9:B12),2)</f>
        <v>0</v>
      </c>
      <c r="G56" s="23">
        <f>ROUND(SUMIF(Определители!I9:I12,"=6",'Базовые цены с учетом расхода'!C9:C12),2)</f>
        <v>0</v>
      </c>
      <c r="H56" s="23">
        <f>ROUND(SUMIF(Определители!I9:I12,"=6",'Базовые цены с учетом расхода'!D9:D12),2)</f>
        <v>0</v>
      </c>
      <c r="I56" s="23">
        <f>ROUND(SUMIF(Определители!I9:I12,"=6",'Базовые цены с учетом расхода'!E9:E12),2)</f>
        <v>0</v>
      </c>
      <c r="J56" s="27">
        <f>ROUND(SUMIF(Определители!I9:I12,"=6",'Базовые цены с учетом расхода'!I9:I12),8)</f>
        <v>0</v>
      </c>
      <c r="K56" s="27">
        <f>ROUND(SUMIF(Определители!I9:I12,"=6",'Базовые цены с учетом расхода'!K9:K12),8)</f>
        <v>0</v>
      </c>
      <c r="L56" s="23">
        <f>ROUND(SUMIF(Определители!I9:I12,"=6",'Базовые цены с учетом расхода'!F9:F12),2)</f>
        <v>0</v>
      </c>
    </row>
    <row r="57" spans="1:12" ht="10.5">
      <c r="A57" s="24">
        <v>48</v>
      </c>
      <c r="B57" s="7" t="s">
        <v>79</v>
      </c>
      <c r="C57" s="28" t="s">
        <v>244</v>
      </c>
      <c r="D57" s="31">
        <v>0</v>
      </c>
      <c r="F57" s="23">
        <f>ROUND(SUMIF(Определители!I9:I12,"=6",'Базовые цены с учетом расхода'!H9:H12),2)</f>
        <v>0</v>
      </c>
      <c r="G57" s="23"/>
      <c r="H57" s="23"/>
      <c r="I57" s="23"/>
      <c r="J57" s="27"/>
      <c r="K57" s="27"/>
      <c r="L57" s="23"/>
    </row>
    <row r="58" spans="1:12" ht="10.5">
      <c r="A58" s="24">
        <v>49</v>
      </c>
      <c r="B58" s="7" t="s">
        <v>80</v>
      </c>
      <c r="C58" s="28" t="s">
        <v>244</v>
      </c>
      <c r="D58" s="31">
        <v>0</v>
      </c>
      <c r="F58" s="23">
        <f>ROUND(SUMIF(Определители!I9:I12,"=6",'Базовые цены с учетом расхода'!N9:N12),2)</f>
        <v>0</v>
      </c>
      <c r="G58" s="23"/>
      <c r="H58" s="23"/>
      <c r="I58" s="23"/>
      <c r="J58" s="27"/>
      <c r="K58" s="27"/>
      <c r="L58" s="23"/>
    </row>
    <row r="59" spans="1:12" ht="10.5">
      <c r="A59" s="24">
        <v>50</v>
      </c>
      <c r="B59" s="7" t="s">
        <v>81</v>
      </c>
      <c r="C59" s="28" t="s">
        <v>244</v>
      </c>
      <c r="D59" s="31">
        <v>0</v>
      </c>
      <c r="F59" s="23">
        <f>ROUND(SUMIF(Определители!I9:I12,"=6",'Базовые цены с учетом расхода'!O9:O12),2)</f>
        <v>0</v>
      </c>
      <c r="G59" s="23"/>
      <c r="H59" s="23"/>
      <c r="I59" s="23"/>
      <c r="J59" s="27"/>
      <c r="K59" s="27"/>
      <c r="L59" s="23"/>
    </row>
    <row r="60" spans="1:12" ht="10.5">
      <c r="A60" s="24">
        <v>51</v>
      </c>
      <c r="B60" s="7" t="s">
        <v>96</v>
      </c>
      <c r="C60" s="28" t="s">
        <v>245</v>
      </c>
      <c r="D60" s="31">
        <v>0</v>
      </c>
      <c r="F60" s="23">
        <f>ROUND((F56+F58+F59),2)</f>
        <v>0</v>
      </c>
      <c r="G60" s="23"/>
      <c r="H60" s="23"/>
      <c r="I60" s="23"/>
      <c r="J60" s="27"/>
      <c r="K60" s="27"/>
      <c r="L60" s="23"/>
    </row>
    <row r="61" spans="1:12" ht="10.5">
      <c r="A61" s="24">
        <v>52</v>
      </c>
      <c r="B61" s="7" t="s">
        <v>97</v>
      </c>
      <c r="C61" s="28" t="s">
        <v>244</v>
      </c>
      <c r="D61" s="31">
        <v>0</v>
      </c>
      <c r="F61" s="23">
        <f>ROUND(SUMIF(Определители!I9:I12,"=7",'Базовые цены с учетом расхода'!B9:B12),2)</f>
        <v>0</v>
      </c>
      <c r="G61" s="23">
        <f>ROUND(SUMIF(Определители!I9:I12,"=7",'Базовые цены с учетом расхода'!C9:C12),2)</f>
        <v>0</v>
      </c>
      <c r="H61" s="23">
        <f>ROUND(SUMIF(Определители!I9:I12,"=7",'Базовые цены с учетом расхода'!D9:D12),2)</f>
        <v>0</v>
      </c>
      <c r="I61" s="23">
        <f>ROUND(SUMIF(Определители!I9:I12,"=7",'Базовые цены с учетом расхода'!E9:E12),2)</f>
        <v>0</v>
      </c>
      <c r="J61" s="27">
        <f>ROUND(SUMIF(Определители!I9:I12,"=7",'Базовые цены с учетом расхода'!I9:I12),8)</f>
        <v>0</v>
      </c>
      <c r="K61" s="27">
        <f>ROUND(SUMIF(Определители!I9:I12,"=7",'Базовые цены с учетом расхода'!K9:K12),8)</f>
        <v>0</v>
      </c>
      <c r="L61" s="23">
        <f>ROUND(SUMIF(Определители!I9:I12,"=7",'Базовые цены с учетом расхода'!F9:F12),2)</f>
        <v>0</v>
      </c>
    </row>
    <row r="62" spans="1:12" ht="10.5">
      <c r="A62" s="24">
        <v>53</v>
      </c>
      <c r="B62" s="7" t="s">
        <v>75</v>
      </c>
      <c r="C62" s="28" t="s">
        <v>244</v>
      </c>
      <c r="D62" s="31">
        <v>0</v>
      </c>
      <c r="F62" s="23"/>
      <c r="G62" s="23"/>
      <c r="H62" s="23"/>
      <c r="I62" s="23"/>
      <c r="J62" s="27"/>
      <c r="K62" s="27"/>
      <c r="L62" s="23"/>
    </row>
    <row r="63" spans="1:12" ht="10.5">
      <c r="A63" s="24">
        <v>54</v>
      </c>
      <c r="B63" s="7" t="s">
        <v>98</v>
      </c>
      <c r="C63" s="28" t="s">
        <v>244</v>
      </c>
      <c r="D63" s="31">
        <v>0</v>
      </c>
      <c r="F63" s="23" t="e">
        <f>ROUND(СУММЕСЛИ2(Определители!I9:I12,"2",Определители!G9:G12,"1",'Базовые цены с учетом расхода'!B9:B12),2)</f>
        <v>#NAME?</v>
      </c>
      <c r="G63" s="23"/>
      <c r="H63" s="23"/>
      <c r="I63" s="23"/>
      <c r="J63" s="27"/>
      <c r="K63" s="27"/>
      <c r="L63" s="23"/>
    </row>
    <row r="64" spans="1:12" ht="10.5">
      <c r="A64" s="24">
        <v>55</v>
      </c>
      <c r="B64" s="7" t="s">
        <v>79</v>
      </c>
      <c r="C64" s="28" t="s">
        <v>244</v>
      </c>
      <c r="D64" s="31">
        <v>0</v>
      </c>
      <c r="F64" s="23">
        <f>ROUND(SUMIF(Определители!I9:I12,"=7",'Базовые цены с учетом расхода'!H9:H12),2)</f>
        <v>0</v>
      </c>
      <c r="G64" s="23"/>
      <c r="H64" s="23"/>
      <c r="I64" s="23"/>
      <c r="J64" s="27"/>
      <c r="K64" s="27"/>
      <c r="L64" s="23"/>
    </row>
    <row r="65" spans="1:12" ht="10.5">
      <c r="A65" s="24">
        <v>56</v>
      </c>
      <c r="B65" s="7" t="s">
        <v>99</v>
      </c>
      <c r="C65" s="28" t="s">
        <v>244</v>
      </c>
      <c r="D65" s="31">
        <v>0</v>
      </c>
      <c r="F65" s="23">
        <f>ROUND(SUMIF(Определители!I9:I12,"=7",'Базовые цены с учетом расхода'!N9:N12),2)</f>
        <v>0</v>
      </c>
      <c r="G65" s="23"/>
      <c r="H65" s="23"/>
      <c r="I65" s="23"/>
      <c r="J65" s="27"/>
      <c r="K65" s="27"/>
      <c r="L65" s="23"/>
    </row>
    <row r="66" spans="1:12" ht="10.5">
      <c r="A66" s="24">
        <v>57</v>
      </c>
      <c r="B66" s="7" t="s">
        <v>81</v>
      </c>
      <c r="C66" s="28" t="s">
        <v>244</v>
      </c>
      <c r="D66" s="31">
        <v>0</v>
      </c>
      <c r="F66" s="23">
        <f>ROUND(SUMIF(Определители!I9:I12,"=7",'Базовые цены с учетом расхода'!O9:O12),2)</f>
        <v>0</v>
      </c>
      <c r="G66" s="23"/>
      <c r="H66" s="23"/>
      <c r="I66" s="23"/>
      <c r="J66" s="27"/>
      <c r="K66" s="27"/>
      <c r="L66" s="23"/>
    </row>
    <row r="67" spans="1:12" ht="10.5">
      <c r="A67" s="24">
        <v>58</v>
      </c>
      <c r="B67" s="7" t="s">
        <v>100</v>
      </c>
      <c r="C67" s="28" t="s">
        <v>245</v>
      </c>
      <c r="D67" s="31">
        <v>0</v>
      </c>
      <c r="F67" s="23">
        <f>ROUND((F61+F65+F66),2)</f>
        <v>0</v>
      </c>
      <c r="G67" s="23"/>
      <c r="H67" s="23"/>
      <c r="I67" s="23"/>
      <c r="J67" s="27"/>
      <c r="K67" s="27"/>
      <c r="L67" s="23"/>
    </row>
    <row r="68" spans="1:12" ht="10.5">
      <c r="A68" s="24">
        <v>59</v>
      </c>
      <c r="B68" s="7" t="s">
        <v>101</v>
      </c>
      <c r="C68" s="28" t="s">
        <v>244</v>
      </c>
      <c r="D68" s="31">
        <v>0</v>
      </c>
      <c r="F68" s="23">
        <f>ROUND(SUMIF(Определители!I9:I12,"=9",'Базовые цены с учетом расхода'!B9:B12),2)</f>
        <v>0</v>
      </c>
      <c r="G68" s="23">
        <f>ROUND(SUMIF(Определители!I9:I12,"=9",'Базовые цены с учетом расхода'!C9:C12),2)</f>
        <v>0</v>
      </c>
      <c r="H68" s="23">
        <f>ROUND(SUMIF(Определители!I9:I12,"=9",'Базовые цены с учетом расхода'!D9:D12),2)</f>
        <v>0</v>
      </c>
      <c r="I68" s="23">
        <f>ROUND(SUMIF(Определители!I9:I12,"=9",'Базовые цены с учетом расхода'!E9:E12),2)</f>
        <v>0</v>
      </c>
      <c r="J68" s="27">
        <f>ROUND(SUMIF(Определители!I9:I12,"=9",'Базовые цены с учетом расхода'!I9:I12),8)</f>
        <v>0</v>
      </c>
      <c r="K68" s="27">
        <f>ROUND(SUMIF(Определители!I9:I12,"=9",'Базовые цены с учетом расхода'!K9:K12),8)</f>
        <v>0</v>
      </c>
      <c r="L68" s="23">
        <f>ROUND(SUMIF(Определители!I9:I12,"=9",'Базовые цены с учетом расхода'!F9:F12),2)</f>
        <v>0</v>
      </c>
    </row>
    <row r="69" spans="1:12" ht="10.5">
      <c r="A69" s="24">
        <v>60</v>
      </c>
      <c r="B69" s="7" t="s">
        <v>99</v>
      </c>
      <c r="C69" s="28" t="s">
        <v>244</v>
      </c>
      <c r="D69" s="31">
        <v>0</v>
      </c>
      <c r="F69" s="23">
        <f>ROUND(SUMIF(Определители!I9:I12,"=9",'Базовые цены с учетом расхода'!N9:N12),2)</f>
        <v>0</v>
      </c>
      <c r="G69" s="23"/>
      <c r="H69" s="23"/>
      <c r="I69" s="23"/>
      <c r="J69" s="27"/>
      <c r="K69" s="27"/>
      <c r="L69" s="23"/>
    </row>
    <row r="70" spans="1:12" ht="10.5">
      <c r="A70" s="24">
        <v>61</v>
      </c>
      <c r="B70" s="7" t="s">
        <v>81</v>
      </c>
      <c r="C70" s="28" t="s">
        <v>244</v>
      </c>
      <c r="D70" s="31">
        <v>0</v>
      </c>
      <c r="F70" s="23">
        <f>ROUND(SUMIF(Определители!I9:I12,"=9",'Базовые цены с учетом расхода'!O9:O12),2)</f>
        <v>0</v>
      </c>
      <c r="G70" s="23"/>
      <c r="H70" s="23"/>
      <c r="I70" s="23"/>
      <c r="J70" s="27"/>
      <c r="K70" s="27"/>
      <c r="L70" s="23"/>
    </row>
    <row r="71" spans="1:12" ht="10.5">
      <c r="A71" s="24">
        <v>62</v>
      </c>
      <c r="B71" s="7" t="s">
        <v>102</v>
      </c>
      <c r="C71" s="28" t="s">
        <v>245</v>
      </c>
      <c r="D71" s="31">
        <v>0</v>
      </c>
      <c r="F71" s="23">
        <f>ROUND((F68+F69+F70),2)</f>
        <v>0</v>
      </c>
      <c r="G71" s="23"/>
      <c r="H71" s="23"/>
      <c r="I71" s="23"/>
      <c r="J71" s="27"/>
      <c r="K71" s="27"/>
      <c r="L71" s="23"/>
    </row>
    <row r="72" spans="1:12" ht="10.5">
      <c r="A72" s="24">
        <v>63</v>
      </c>
      <c r="B72" s="7" t="s">
        <v>103</v>
      </c>
      <c r="C72" s="28" t="s">
        <v>244</v>
      </c>
      <c r="D72" s="31">
        <v>0</v>
      </c>
      <c r="F72" s="23">
        <f>ROUND(SUMIF(Определители!I9:I12,"=:",'Базовые цены с учетом расхода'!B9:B12),2)</f>
        <v>0</v>
      </c>
      <c r="G72" s="23">
        <f>ROUND(SUMIF(Определители!I9:I12,"=:",'Базовые цены с учетом расхода'!C9:C12),2)</f>
        <v>0</v>
      </c>
      <c r="H72" s="23">
        <f>ROUND(SUMIF(Определители!I9:I12,"=:",'Базовые цены с учетом расхода'!D9:D12),2)</f>
        <v>0</v>
      </c>
      <c r="I72" s="23">
        <f>ROUND(SUMIF(Определители!I9:I12,"=:",'Базовые цены с учетом расхода'!E9:E12),2)</f>
        <v>0</v>
      </c>
      <c r="J72" s="27">
        <f>ROUND(SUMIF(Определители!I9:I12,"=:",'Базовые цены с учетом расхода'!I9:I12),8)</f>
        <v>0</v>
      </c>
      <c r="K72" s="27">
        <f>ROUND(SUMIF(Определители!I9:I12,"=:",'Базовые цены с учетом расхода'!K9:K12),8)</f>
        <v>0</v>
      </c>
      <c r="L72" s="23">
        <f>ROUND(SUMIF(Определители!I9:I12,"=:",'Базовые цены с учетом расхода'!F9:F12),2)</f>
        <v>0</v>
      </c>
    </row>
    <row r="73" spans="1:12" ht="10.5">
      <c r="A73" s="24">
        <v>64</v>
      </c>
      <c r="B73" s="7" t="s">
        <v>79</v>
      </c>
      <c r="C73" s="28" t="s">
        <v>244</v>
      </c>
      <c r="D73" s="31">
        <v>0</v>
      </c>
      <c r="F73" s="23">
        <f>ROUND(SUMIF(Определители!I9:I12,"=:",'Базовые цены с учетом расхода'!H9:H12),2)</f>
        <v>0</v>
      </c>
      <c r="G73" s="23"/>
      <c r="H73" s="23"/>
      <c r="I73" s="23"/>
      <c r="J73" s="27"/>
      <c r="K73" s="27"/>
      <c r="L73" s="23"/>
    </row>
    <row r="74" spans="1:12" ht="10.5">
      <c r="A74" s="24">
        <v>65</v>
      </c>
      <c r="B74" s="7" t="s">
        <v>99</v>
      </c>
      <c r="C74" s="28" t="s">
        <v>244</v>
      </c>
      <c r="D74" s="31">
        <v>0</v>
      </c>
      <c r="F74" s="23">
        <f>ROUND(SUMIF(Определители!I9:I12,"=:",'Базовые цены с учетом расхода'!N9:N12),2)</f>
        <v>0</v>
      </c>
      <c r="G74" s="23"/>
      <c r="H74" s="23"/>
      <c r="I74" s="23"/>
      <c r="J74" s="27"/>
      <c r="K74" s="27"/>
      <c r="L74" s="23"/>
    </row>
    <row r="75" spans="1:12" ht="10.5">
      <c r="A75" s="24">
        <v>66</v>
      </c>
      <c r="B75" s="7" t="s">
        <v>81</v>
      </c>
      <c r="C75" s="28" t="s">
        <v>244</v>
      </c>
      <c r="D75" s="31">
        <v>0</v>
      </c>
      <c r="F75" s="23">
        <f>ROUND(SUMIF(Определители!I9:I12,"=:",'Базовые цены с учетом расхода'!O9:O12),2)</f>
        <v>0</v>
      </c>
      <c r="G75" s="23"/>
      <c r="H75" s="23"/>
      <c r="I75" s="23"/>
      <c r="J75" s="27"/>
      <c r="K75" s="27"/>
      <c r="L75" s="23"/>
    </row>
    <row r="76" spans="1:12" ht="10.5">
      <c r="A76" s="24">
        <v>67</v>
      </c>
      <c r="B76" s="7" t="s">
        <v>104</v>
      </c>
      <c r="C76" s="28" t="s">
        <v>245</v>
      </c>
      <c r="D76" s="31">
        <v>0</v>
      </c>
      <c r="F76" s="23">
        <f>ROUND((F72+F74+F75),2)</f>
        <v>0</v>
      </c>
      <c r="G76" s="23"/>
      <c r="H76" s="23"/>
      <c r="I76" s="23"/>
      <c r="J76" s="27"/>
      <c r="K76" s="27"/>
      <c r="L76" s="23"/>
    </row>
    <row r="77" spans="1:12" ht="10.5">
      <c r="A77" s="24">
        <v>68</v>
      </c>
      <c r="B77" s="7" t="s">
        <v>105</v>
      </c>
      <c r="C77" s="28" t="s">
        <v>244</v>
      </c>
      <c r="D77" s="31">
        <v>0</v>
      </c>
      <c r="F77" s="23">
        <f>ROUND(SUMIF(Определители!I9:I12,"=8",'Базовые цены с учетом расхода'!B9:B12),2)</f>
        <v>0</v>
      </c>
      <c r="G77" s="23">
        <f>ROUND(SUMIF(Определители!I9:I12,"=8",'Базовые цены с учетом расхода'!C9:C12),2)</f>
        <v>0</v>
      </c>
      <c r="H77" s="23">
        <f>ROUND(SUMIF(Определители!I9:I12,"=8",'Базовые цены с учетом расхода'!D9:D12),2)</f>
        <v>0</v>
      </c>
      <c r="I77" s="23">
        <f>ROUND(SUMIF(Определители!I9:I12,"=8",'Базовые цены с учетом расхода'!E9:E12),2)</f>
        <v>0</v>
      </c>
      <c r="J77" s="27">
        <f>ROUND(SUMIF(Определители!I9:I12,"=8",'Базовые цены с учетом расхода'!I9:I12),8)</f>
        <v>0</v>
      </c>
      <c r="K77" s="27">
        <f>ROUND(SUMIF(Определители!I9:I12,"=8",'Базовые цены с учетом расхода'!K9:K12),8)</f>
        <v>0</v>
      </c>
      <c r="L77" s="23">
        <f>ROUND(SUMIF(Определители!I9:I12,"=8",'Базовые цены с учетом расхода'!F9:F12),2)</f>
        <v>0</v>
      </c>
    </row>
    <row r="78" spans="1:12" ht="10.5">
      <c r="A78" s="24">
        <v>69</v>
      </c>
      <c r="B78" s="7" t="s">
        <v>79</v>
      </c>
      <c r="C78" s="28" t="s">
        <v>244</v>
      </c>
      <c r="D78" s="31">
        <v>0</v>
      </c>
      <c r="F78" s="23">
        <f>ROUND(SUMIF(Определители!I9:I12,"=8",'Базовые цены с учетом расхода'!H9:H12),2)</f>
        <v>0</v>
      </c>
      <c r="G78" s="23"/>
      <c r="H78" s="23"/>
      <c r="I78" s="23"/>
      <c r="J78" s="27"/>
      <c r="K78" s="27"/>
      <c r="L78" s="23"/>
    </row>
    <row r="79" spans="1:12" ht="10.5">
      <c r="A79" s="24">
        <v>70</v>
      </c>
      <c r="B79" s="7" t="s">
        <v>133</v>
      </c>
      <c r="C79" s="28" t="s">
        <v>245</v>
      </c>
      <c r="D79" s="31">
        <v>0</v>
      </c>
      <c r="F79" s="23" t="e">
        <f>ROUND((F20+F30+F37+F42+F50+F55+F60+F67+F71+F76+F77),2)</f>
        <v>#NAME?</v>
      </c>
      <c r="G79" s="23">
        <f>ROUND((G20+G30+G37+G42+G50+G55+G60+G67+G71+G76+G77),2)</f>
        <v>0</v>
      </c>
      <c r="H79" s="23">
        <f>ROUND((H20+H30+H37+H42+H50+H55+H60+H67+H71+H76+H77),2)</f>
        <v>0</v>
      </c>
      <c r="I79" s="23">
        <f>ROUND((I20+I30+I37+I42+I50+I55+I60+I67+I71+I76+I77),2)</f>
        <v>0</v>
      </c>
      <c r="J79" s="27">
        <f>ROUND((J20+J30+J37+J42+J50+J55+J60+J67+J71+J76+J77),8)</f>
        <v>0</v>
      </c>
      <c r="K79" s="27">
        <f>ROUND((K20+K30+K37+K42+K50+K55+K60+K67+K71+K76+K77),8)</f>
        <v>0</v>
      </c>
      <c r="L79" s="23">
        <f>ROUND((L20+L30+L37+L42+L50+L55+L60+L67+L71+L76+L77),2)</f>
        <v>0</v>
      </c>
    </row>
    <row r="80" spans="1:12" ht="10.5">
      <c r="A80" s="24">
        <v>71</v>
      </c>
      <c r="B80" s="7" t="s">
        <v>107</v>
      </c>
      <c r="C80" s="28" t="s">
        <v>245</v>
      </c>
      <c r="D80" s="31">
        <v>0</v>
      </c>
      <c r="F80" s="23">
        <f>ROUND((F26+F34+F39+F46+F52+F57+F64+F73+F78),2)</f>
        <v>0</v>
      </c>
      <c r="G80" s="23"/>
      <c r="H80" s="23"/>
      <c r="I80" s="23"/>
      <c r="J80" s="27"/>
      <c r="K80" s="27"/>
      <c r="L80" s="23"/>
    </row>
    <row r="81" spans="1:12" ht="10.5">
      <c r="A81" s="24">
        <v>72</v>
      </c>
      <c r="B81" s="7" t="s">
        <v>108</v>
      </c>
      <c r="C81" s="28" t="s">
        <v>245</v>
      </c>
      <c r="D81" s="31">
        <v>0</v>
      </c>
      <c r="F81" s="23">
        <f>ROUND((F27+F35+F40+F47+F53+F58+F65+F69+F74),2)</f>
        <v>343.21</v>
      </c>
      <c r="G81" s="23"/>
      <c r="H81" s="23"/>
      <c r="I81" s="23"/>
      <c r="J81" s="27"/>
      <c r="K81" s="27"/>
      <c r="L81" s="23"/>
    </row>
    <row r="82" spans="1:12" ht="10.5">
      <c r="A82" s="24">
        <v>73</v>
      </c>
      <c r="B82" s="7" t="s">
        <v>109</v>
      </c>
      <c r="C82" s="28" t="s">
        <v>245</v>
      </c>
      <c r="D82" s="31">
        <v>0</v>
      </c>
      <c r="F82" s="23">
        <f>ROUND((F28+F36+F41+F48+F54+F59+F66+F70+F75),2)</f>
        <v>199.92</v>
      </c>
      <c r="G82" s="23"/>
      <c r="H82" s="23"/>
      <c r="I82" s="23"/>
      <c r="J82" s="27"/>
      <c r="K82" s="27"/>
      <c r="L82" s="23"/>
    </row>
    <row r="83" spans="1:12" ht="10.5">
      <c r="A83" s="24">
        <v>74</v>
      </c>
      <c r="B83" s="7" t="s">
        <v>110</v>
      </c>
      <c r="C83" s="28" t="s">
        <v>246</v>
      </c>
      <c r="D83" s="31">
        <v>0</v>
      </c>
      <c r="F83" s="23">
        <f>ROUND(SUM('Базовые цены с учетом расхода'!X9:X12),2)</f>
        <v>0</v>
      </c>
      <c r="G83" s="23"/>
      <c r="H83" s="23"/>
      <c r="I83" s="23"/>
      <c r="J83" s="27"/>
      <c r="K83" s="27"/>
      <c r="L83" s="23">
        <f>ROUND(SUM('Базовые цены с учетом расхода'!X9:X12),2)</f>
        <v>0</v>
      </c>
    </row>
    <row r="84" spans="1:12" ht="10.5">
      <c r="A84" s="24">
        <v>75</v>
      </c>
      <c r="B84" s="7" t="s">
        <v>111</v>
      </c>
      <c r="C84" s="28" t="s">
        <v>246</v>
      </c>
      <c r="D84" s="31">
        <v>0</v>
      </c>
      <c r="F84" s="23">
        <f>ROUND(SUM('Базовые цены с учетом расхода'!C9:C12),2)</f>
        <v>332.56</v>
      </c>
      <c r="G84" s="23"/>
      <c r="H84" s="23"/>
      <c r="I84" s="23"/>
      <c r="J84" s="27"/>
      <c r="K84" s="27"/>
      <c r="L84" s="23"/>
    </row>
    <row r="85" spans="1:12" ht="10.5">
      <c r="A85" s="24">
        <v>76</v>
      </c>
      <c r="B85" s="7" t="s">
        <v>112</v>
      </c>
      <c r="C85" s="28" t="s">
        <v>246</v>
      </c>
      <c r="D85" s="31">
        <v>0</v>
      </c>
      <c r="F85" s="23">
        <f>ROUND(SUM('Базовые цены с учетом расхода'!E9:E12),2)</f>
        <v>0.65</v>
      </c>
      <c r="G85" s="23"/>
      <c r="H85" s="23"/>
      <c r="I85" s="23"/>
      <c r="J85" s="27"/>
      <c r="K85" s="27"/>
      <c r="L85" s="23"/>
    </row>
    <row r="86" spans="1:12" ht="10.5">
      <c r="A86" s="24">
        <v>77</v>
      </c>
      <c r="B86" s="7" t="s">
        <v>113</v>
      </c>
      <c r="C86" s="28" t="s">
        <v>247</v>
      </c>
      <c r="D86" s="31">
        <v>0</v>
      </c>
      <c r="F86" s="23">
        <f>ROUND((F84+F85),2)</f>
        <v>333.21</v>
      </c>
      <c r="G86" s="23"/>
      <c r="H86" s="23"/>
      <c r="I86" s="23"/>
      <c r="J86" s="27"/>
      <c r="K86" s="27"/>
      <c r="L86" s="23"/>
    </row>
    <row r="87" spans="1:12" ht="10.5">
      <c r="A87" s="24">
        <v>78</v>
      </c>
      <c r="B87" s="7" t="s">
        <v>114</v>
      </c>
      <c r="C87" s="28" t="s">
        <v>246</v>
      </c>
      <c r="D87" s="31">
        <v>0</v>
      </c>
      <c r="F87" s="23"/>
      <c r="G87" s="23"/>
      <c r="H87" s="23"/>
      <c r="I87" s="23"/>
      <c r="J87" s="27" t="e">
        <f>ROUND(SUM('Базовые цены с учетом расхода'!I9:I12),8)</f>
        <v>#NAME?</v>
      </c>
      <c r="K87" s="27"/>
      <c r="L87" s="23"/>
    </row>
    <row r="88" spans="1:12" ht="10.5">
      <c r="A88" s="24">
        <v>79</v>
      </c>
      <c r="B88" s="7" t="s">
        <v>115</v>
      </c>
      <c r="C88" s="28" t="s">
        <v>246</v>
      </c>
      <c r="D88" s="31">
        <v>0</v>
      </c>
      <c r="F88" s="23"/>
      <c r="G88" s="23"/>
      <c r="H88" s="23"/>
      <c r="I88" s="23"/>
      <c r="J88" s="27" t="e">
        <f>ROUND(SUM('Базовые цены с учетом расхода'!K9:K12),8)</f>
        <v>#NAME?</v>
      </c>
      <c r="K88" s="27"/>
      <c r="L88" s="23"/>
    </row>
    <row r="89" spans="1:12" ht="10.5">
      <c r="A89" s="24">
        <v>80</v>
      </c>
      <c r="B89" s="7" t="s">
        <v>116</v>
      </c>
      <c r="C89" s="28" t="s">
        <v>247</v>
      </c>
      <c r="D89" s="31">
        <v>0</v>
      </c>
      <c r="F89" s="23"/>
      <c r="G89" s="23"/>
      <c r="H89" s="23"/>
      <c r="I89" s="23"/>
      <c r="J89" s="27" t="e">
        <f>ROUND((J87+J88),8)</f>
        <v>#NAME?</v>
      </c>
      <c r="K89" s="27"/>
      <c r="L89" s="23"/>
    </row>
    <row r="90" spans="1:12" ht="10.5">
      <c r="A90" s="24">
        <v>81</v>
      </c>
      <c r="B90" s="7" t="s">
        <v>117</v>
      </c>
      <c r="C90" s="28" t="s">
        <v>248</v>
      </c>
      <c r="D90" s="31">
        <v>3.45</v>
      </c>
      <c r="F90" s="23" t="e">
        <f>ROUND((F79)*D90,2)</f>
        <v>#NAME?</v>
      </c>
      <c r="G90" s="23"/>
      <c r="H90" s="23"/>
      <c r="I90" s="23"/>
      <c r="J90" s="27"/>
      <c r="K90" s="27"/>
      <c r="L90" s="23"/>
    </row>
    <row r="91" spans="1:12" ht="10.5">
      <c r="A91" s="24">
        <v>82</v>
      </c>
      <c r="B91" s="7" t="s">
        <v>118</v>
      </c>
      <c r="C91" s="28" t="s">
        <v>249</v>
      </c>
      <c r="D91" s="31">
        <v>18</v>
      </c>
      <c r="F91" s="23" t="e">
        <f>ROUND((F90)*D91/100,2)</f>
        <v>#NAME?</v>
      </c>
      <c r="G91" s="23"/>
      <c r="H91" s="23"/>
      <c r="I91" s="23"/>
      <c r="J91" s="27"/>
      <c r="K91" s="27"/>
      <c r="L91" s="23"/>
    </row>
    <row r="92" spans="1:12" ht="10.5">
      <c r="A92" s="24">
        <v>83</v>
      </c>
      <c r="B92" s="7" t="s">
        <v>134</v>
      </c>
      <c r="C92" s="28" t="s">
        <v>247</v>
      </c>
      <c r="D92" s="31">
        <v>0</v>
      </c>
      <c r="F92" s="23" t="e">
        <f>ROUND((F90+F91),2)</f>
        <v>#NAME?</v>
      </c>
      <c r="G92" s="23"/>
      <c r="H92" s="23"/>
      <c r="I92" s="23"/>
      <c r="J92" s="27"/>
      <c r="K92" s="27"/>
      <c r="L92" s="23"/>
    </row>
    <row r="94" spans="1:10" s="31" customFormat="1" ht="10.5">
      <c r="A94" s="24"/>
      <c r="B94" s="50" t="s">
        <v>120</v>
      </c>
      <c r="C94" s="50"/>
      <c r="D94" s="50"/>
      <c r="E94" s="50"/>
      <c r="F94" s="50"/>
      <c r="G94" s="50"/>
      <c r="H94" s="50"/>
      <c r="I94" s="50"/>
      <c r="J94" s="50"/>
    </row>
    <row r="95" spans="2:10" ht="10.5">
      <c r="B95" s="50"/>
      <c r="C95" s="50"/>
      <c r="D95" s="50"/>
      <c r="E95" s="50"/>
      <c r="F95" s="50"/>
      <c r="G95" s="50"/>
      <c r="H95" s="50"/>
      <c r="I95" s="50"/>
      <c r="J95" s="50"/>
    </row>
    <row r="96" spans="1:13" s="25" customFormat="1" ht="10.5">
      <c r="A96" s="8"/>
      <c r="B96" s="25" t="s">
        <v>231</v>
      </c>
      <c r="C96" s="25" t="s">
        <v>232</v>
      </c>
      <c r="D96" s="32" t="s">
        <v>233</v>
      </c>
      <c r="E96" s="25" t="s">
        <v>234</v>
      </c>
      <c r="F96" s="25" t="s">
        <v>235</v>
      </c>
      <c r="G96" s="25" t="s">
        <v>236</v>
      </c>
      <c r="H96" s="25" t="s">
        <v>237</v>
      </c>
      <c r="I96" s="25" t="s">
        <v>238</v>
      </c>
      <c r="J96" s="25" t="s">
        <v>239</v>
      </c>
      <c r="K96" s="25" t="s">
        <v>240</v>
      </c>
      <c r="L96" s="25" t="s">
        <v>241</v>
      </c>
      <c r="M96" s="25" t="s">
        <v>242</v>
      </c>
    </row>
    <row r="97" spans="1:12" ht="10.5">
      <c r="A97" s="24">
        <v>1</v>
      </c>
      <c r="B97" s="7" t="s">
        <v>130</v>
      </c>
      <c r="C97" s="28" t="s">
        <v>243</v>
      </c>
      <c r="D97" s="31">
        <v>0</v>
      </c>
      <c r="E97" s="31"/>
      <c r="F97" s="23">
        <f>ROUND(SUM('Базовые цены с учетом расхода'!B16:B17),2)</f>
        <v>63.08</v>
      </c>
      <c r="G97" s="23">
        <f>ROUND(SUM('Базовые цены с учетом расхода'!C16:C17),2)</f>
        <v>24.32</v>
      </c>
      <c r="H97" s="23">
        <f>ROUND(SUM('Базовые цены с учетом расхода'!D16:D17),2)</f>
        <v>30.98</v>
      </c>
      <c r="I97" s="23">
        <f>ROUND(SUM('Базовые цены с учетом расхода'!E16:E17),2)</f>
        <v>5.65</v>
      </c>
      <c r="J97" s="27" t="e">
        <f>ROUND(SUM('Базовые цены с учетом расхода'!I16:I17),8)</f>
        <v>#NAME?</v>
      </c>
      <c r="K97" s="27" t="e">
        <f>ROUND(SUM('Базовые цены с учетом расхода'!K16:K17),8)</f>
        <v>#NAME?</v>
      </c>
      <c r="L97" s="23">
        <f>ROUND(SUM('Базовые цены с учетом расхода'!F16:F17),2)</f>
        <v>7.78</v>
      </c>
    </row>
    <row r="98" spans="1:12" ht="10.5">
      <c r="A98" s="24">
        <v>2</v>
      </c>
      <c r="B98" s="7" t="s">
        <v>64</v>
      </c>
      <c r="C98" s="28" t="s">
        <v>244</v>
      </c>
      <c r="D98" s="31">
        <v>0</v>
      </c>
      <c r="F98" s="23">
        <f>ROUND(SUMIF(Определители!I16:I17,"= ",'Базовые цены с учетом расхода'!B16:B17),2)</f>
        <v>0</v>
      </c>
      <c r="G98" s="23">
        <f>ROUND(SUMIF(Определители!I16:I17,"= ",'Базовые цены с учетом расхода'!C16:C17),2)</f>
        <v>0</v>
      </c>
      <c r="H98" s="23">
        <f>ROUND(SUMIF(Определители!I16:I17,"= ",'Базовые цены с учетом расхода'!D16:D17),2)</f>
        <v>0</v>
      </c>
      <c r="I98" s="23">
        <f>ROUND(SUMIF(Определители!I16:I17,"= ",'Базовые цены с учетом расхода'!E16:E17),2)</f>
        <v>0</v>
      </c>
      <c r="J98" s="27">
        <f>ROUND(SUMIF(Определители!I16:I17,"= ",'Базовые цены с учетом расхода'!I16:I17),8)</f>
        <v>0</v>
      </c>
      <c r="K98" s="27">
        <f>ROUND(SUMIF(Определители!I16:I17,"= ",'Базовые цены с учетом расхода'!K16:K17),8)</f>
        <v>0</v>
      </c>
      <c r="L98" s="23">
        <f>ROUND(SUMIF(Определители!I16:I17,"= ",'Базовые цены с учетом расхода'!F16:F17),2)</f>
        <v>0</v>
      </c>
    </row>
    <row r="99" spans="1:12" ht="10.5">
      <c r="A99" s="24">
        <v>3</v>
      </c>
      <c r="B99" s="7" t="s">
        <v>65</v>
      </c>
      <c r="C99" s="28" t="s">
        <v>244</v>
      </c>
      <c r="D99" s="31">
        <v>0</v>
      </c>
      <c r="F99" s="23" t="e">
        <f>ROUND(СУММПРОИЗВЕСЛИ(0.01,Определители!I16:I17," ",'Базовые цены с учетом расхода'!B16:B17,Начисления!X16:X17,0),2)</f>
        <v>#NAME?</v>
      </c>
      <c r="G99" s="23"/>
      <c r="H99" s="23"/>
      <c r="I99" s="23"/>
      <c r="J99" s="27"/>
      <c r="K99" s="27"/>
      <c r="L99" s="23"/>
    </row>
    <row r="100" spans="1:12" ht="10.5">
      <c r="A100" s="24">
        <v>4</v>
      </c>
      <c r="B100" s="7" t="s">
        <v>66</v>
      </c>
      <c r="C100" s="28" t="s">
        <v>244</v>
      </c>
      <c r="D100" s="31">
        <v>0</v>
      </c>
      <c r="F100" s="23" t="e">
        <f>ROUND(СУММПРОИЗВЕСЛИ(0.01,Определители!I16:I17," ",'Базовые цены с учетом расхода'!B16:B17,Начисления!Y16:Y17,0),2)</f>
        <v>#NAME?</v>
      </c>
      <c r="G100" s="23"/>
      <c r="H100" s="23"/>
      <c r="I100" s="23"/>
      <c r="J100" s="27"/>
      <c r="K100" s="27"/>
      <c r="L100" s="23"/>
    </row>
    <row r="101" spans="1:12" ht="10.5">
      <c r="A101" s="24">
        <v>5</v>
      </c>
      <c r="B101" s="7" t="s">
        <v>67</v>
      </c>
      <c r="C101" s="28" t="s">
        <v>244</v>
      </c>
      <c r="D101" s="31">
        <v>0</v>
      </c>
      <c r="F101" s="23" t="e">
        <f>ROUND(ТРАНСПРАСХОД(Определители!B16:B17,Определители!H16:H17,Определители!I16:I17,'Базовые цены с учетом расхода'!B16:B17,Начисления!Z16:Z17,Начисления!AA16:AA17),2)</f>
        <v>#NAME?</v>
      </c>
      <c r="G101" s="23"/>
      <c r="H101" s="23"/>
      <c r="I101" s="23"/>
      <c r="J101" s="27"/>
      <c r="K101" s="27"/>
      <c r="L101" s="23"/>
    </row>
    <row r="102" spans="1:12" ht="10.5">
      <c r="A102" s="24">
        <v>6</v>
      </c>
      <c r="B102" s="7" t="s">
        <v>68</v>
      </c>
      <c r="C102" s="28" t="s">
        <v>244</v>
      </c>
      <c r="D102" s="31">
        <v>0</v>
      </c>
      <c r="F102" s="23" t="e">
        <f>ROUND(СУММПРОИЗВЕСЛИ(0.01,Определители!I16:I17," ",'Базовые цены с учетом расхода'!B16:B17,Начисления!AC16:AC17,0),2)</f>
        <v>#NAME?</v>
      </c>
      <c r="G102" s="23"/>
      <c r="H102" s="23"/>
      <c r="I102" s="23"/>
      <c r="J102" s="27"/>
      <c r="K102" s="27"/>
      <c r="L102" s="23"/>
    </row>
    <row r="103" spans="1:12" ht="10.5">
      <c r="A103" s="24">
        <v>7</v>
      </c>
      <c r="B103" s="7" t="s">
        <v>69</v>
      </c>
      <c r="C103" s="28" t="s">
        <v>244</v>
      </c>
      <c r="D103" s="31">
        <v>0</v>
      </c>
      <c r="F103" s="23" t="e">
        <f>ROUND(СУММПРОИЗВЕСЛИ(0.01,Определители!I16:I17," ",'Базовые цены с учетом расхода'!B16:B17,Начисления!AF16:AF17,0),2)</f>
        <v>#NAME?</v>
      </c>
      <c r="G103" s="23"/>
      <c r="H103" s="23"/>
      <c r="I103" s="23"/>
      <c r="J103" s="27"/>
      <c r="K103" s="27"/>
      <c r="L103" s="23"/>
    </row>
    <row r="104" spans="1:12" ht="10.5">
      <c r="A104" s="24">
        <v>8</v>
      </c>
      <c r="B104" s="7" t="s">
        <v>70</v>
      </c>
      <c r="C104" s="28" t="s">
        <v>244</v>
      </c>
      <c r="D104" s="31">
        <v>0</v>
      </c>
      <c r="F104" s="23" t="e">
        <f>ROUND(ЗАГОТСКЛАДРАСХОД(Определители!B16:B17,Определители!H16:H17,Определители!I16:I17,'Базовые цены с учетом расхода'!B16:B17,Начисления!X16:X17,Начисления!Y16:Y17,Начисления!Z16:Z17,Начисления!AA16:AA17,Начисления!AB16:AB17,Начисления!AC16:AC17,Начисления!AF16:AF17),2)</f>
        <v>#NAME?</v>
      </c>
      <c r="G104" s="23"/>
      <c r="H104" s="23"/>
      <c r="I104" s="23"/>
      <c r="J104" s="27"/>
      <c r="K104" s="27"/>
      <c r="L104" s="23"/>
    </row>
    <row r="105" spans="1:12" ht="10.5">
      <c r="A105" s="24">
        <v>9</v>
      </c>
      <c r="B105" s="7" t="s">
        <v>71</v>
      </c>
      <c r="C105" s="28" t="s">
        <v>244</v>
      </c>
      <c r="D105" s="31">
        <v>0</v>
      </c>
      <c r="F105" s="23" t="e">
        <f>ROUND(СУММПРОИЗВЕСЛИ(1,Определители!I16:I17," ",'Базовые цены с учетом расхода'!M16:M17,Начисления!I16:I17,0),2)</f>
        <v>#NAME?</v>
      </c>
      <c r="G105" s="23"/>
      <c r="H105" s="23"/>
      <c r="I105" s="23"/>
      <c r="J105" s="27"/>
      <c r="K105" s="27"/>
      <c r="L105" s="23"/>
    </row>
    <row r="106" spans="1:12" ht="10.5">
      <c r="A106" s="24">
        <v>10</v>
      </c>
      <c r="B106" s="7" t="s">
        <v>72</v>
      </c>
      <c r="C106" s="28" t="s">
        <v>245</v>
      </c>
      <c r="D106" s="31">
        <v>0</v>
      </c>
      <c r="F106" s="23" t="e">
        <f>ROUND((F105+F116+F136),2)</f>
        <v>#NAME?</v>
      </c>
      <c r="G106" s="23"/>
      <c r="H106" s="23"/>
      <c r="I106" s="23"/>
      <c r="J106" s="27"/>
      <c r="K106" s="27"/>
      <c r="L106" s="23"/>
    </row>
    <row r="107" spans="1:12" ht="10.5">
      <c r="A107" s="24">
        <v>11</v>
      </c>
      <c r="B107" s="7" t="s">
        <v>73</v>
      </c>
      <c r="C107" s="28" t="s">
        <v>245</v>
      </c>
      <c r="D107" s="31">
        <v>0</v>
      </c>
      <c r="F107" s="23" t="e">
        <f>ROUND((F98+F99+F100+F101+F102+F103+F104+F106),2)</f>
        <v>#NAME?</v>
      </c>
      <c r="G107" s="23"/>
      <c r="H107" s="23"/>
      <c r="I107" s="23"/>
      <c r="J107" s="27"/>
      <c r="K107" s="27"/>
      <c r="L107" s="23"/>
    </row>
    <row r="108" spans="1:12" ht="10.5">
      <c r="A108" s="24">
        <v>12</v>
      </c>
      <c r="B108" s="7" t="s">
        <v>74</v>
      </c>
      <c r="C108" s="28" t="s">
        <v>244</v>
      </c>
      <c r="D108" s="31">
        <v>0</v>
      </c>
      <c r="F108" s="23">
        <f>ROUND(SUMIF(Определители!I16:I17,"=1",'Базовые цены с учетом расхода'!B16:B17),2)</f>
        <v>0</v>
      </c>
      <c r="G108" s="23">
        <f>ROUND(SUMIF(Определители!I16:I17,"=1",'Базовые цены с учетом расхода'!C16:C17),2)</f>
        <v>0</v>
      </c>
      <c r="H108" s="23">
        <f>ROUND(SUMIF(Определители!I16:I17,"=1",'Базовые цены с учетом расхода'!D16:D17),2)</f>
        <v>0</v>
      </c>
      <c r="I108" s="23">
        <f>ROUND(SUMIF(Определители!I16:I17,"=1",'Базовые цены с учетом расхода'!E16:E17),2)</f>
        <v>0</v>
      </c>
      <c r="J108" s="27">
        <f>ROUND(SUMIF(Определители!I16:I17,"=1",'Базовые цены с учетом расхода'!I16:I17),8)</f>
        <v>0</v>
      </c>
      <c r="K108" s="27">
        <f>ROUND(SUMIF(Определители!I16:I17,"=1",'Базовые цены с учетом расхода'!K16:K17),8)</f>
        <v>0</v>
      </c>
      <c r="L108" s="23">
        <f>ROUND(SUMIF(Определители!I16:I17,"=1",'Базовые цены с учетом расхода'!F16:F17),2)</f>
        <v>0</v>
      </c>
    </row>
    <row r="109" spans="1:12" ht="10.5">
      <c r="A109" s="24">
        <v>13</v>
      </c>
      <c r="B109" s="7" t="s">
        <v>75</v>
      </c>
      <c r="C109" s="28" t="s">
        <v>244</v>
      </c>
      <c r="D109" s="31">
        <v>0</v>
      </c>
      <c r="F109" s="23"/>
      <c r="G109" s="23"/>
      <c r="H109" s="23"/>
      <c r="I109" s="23"/>
      <c r="J109" s="27"/>
      <c r="K109" s="27"/>
      <c r="L109" s="23"/>
    </row>
    <row r="110" spans="1:12" ht="10.5">
      <c r="A110" s="24">
        <v>14</v>
      </c>
      <c r="B110" s="7" t="s">
        <v>76</v>
      </c>
      <c r="C110" s="28" t="s">
        <v>244</v>
      </c>
      <c r="D110" s="31">
        <v>0</v>
      </c>
      <c r="F110" s="23"/>
      <c r="G110" s="23">
        <f>ROUND(SUMIF(Определители!I16:I17,"=1",'Базовые цены с учетом расхода'!U16:U17),2)</f>
        <v>0</v>
      </c>
      <c r="H110" s="23"/>
      <c r="I110" s="23"/>
      <c r="J110" s="27"/>
      <c r="K110" s="27"/>
      <c r="L110" s="23"/>
    </row>
    <row r="111" spans="1:12" ht="10.5">
      <c r="A111" s="24">
        <v>15</v>
      </c>
      <c r="B111" s="7" t="s">
        <v>77</v>
      </c>
      <c r="C111" s="28" t="s">
        <v>244</v>
      </c>
      <c r="D111" s="31">
        <v>0</v>
      </c>
      <c r="F111" s="23">
        <f>ROUND(SUMIF(Определители!I16:I17,"=1",'Базовые цены с учетом расхода'!V16:V17),2)</f>
        <v>0</v>
      </c>
      <c r="G111" s="23"/>
      <c r="H111" s="23"/>
      <c r="I111" s="23"/>
      <c r="J111" s="27"/>
      <c r="K111" s="27"/>
      <c r="L111" s="23"/>
    </row>
    <row r="112" spans="1:12" ht="10.5">
      <c r="A112" s="24">
        <v>16</v>
      </c>
      <c r="B112" s="7" t="s">
        <v>78</v>
      </c>
      <c r="C112" s="28" t="s">
        <v>244</v>
      </c>
      <c r="D112" s="31">
        <v>0</v>
      </c>
      <c r="F112" s="23" t="e">
        <f>ROUND(СУММЕСЛИ2(Определители!I16:I17,"1",Определители!G16:G17,"1",'Базовые цены с учетом расхода'!B16:B17),2)</f>
        <v>#NAME?</v>
      </c>
      <c r="G112" s="23"/>
      <c r="H112" s="23"/>
      <c r="I112" s="23"/>
      <c r="J112" s="27"/>
      <c r="K112" s="27"/>
      <c r="L112" s="23"/>
    </row>
    <row r="113" spans="1:12" ht="10.5">
      <c r="A113" s="24">
        <v>17</v>
      </c>
      <c r="B113" s="7" t="s">
        <v>79</v>
      </c>
      <c r="C113" s="28" t="s">
        <v>244</v>
      </c>
      <c r="D113" s="31">
        <v>0</v>
      </c>
      <c r="F113" s="23">
        <f>ROUND(SUMIF(Определители!I16:I17,"=1",'Базовые цены с учетом расхода'!H16:H17),2)</f>
        <v>0</v>
      </c>
      <c r="G113" s="23"/>
      <c r="H113" s="23"/>
      <c r="I113" s="23"/>
      <c r="J113" s="27"/>
      <c r="K113" s="27"/>
      <c r="L113" s="23"/>
    </row>
    <row r="114" spans="1:12" ht="10.5">
      <c r="A114" s="24">
        <v>18</v>
      </c>
      <c r="B114" s="7" t="s">
        <v>80</v>
      </c>
      <c r="C114" s="28" t="s">
        <v>244</v>
      </c>
      <c r="D114" s="31">
        <v>0</v>
      </c>
      <c r="F114" s="23">
        <f>ROUND(SUMIF(Определители!I16:I17,"=1",'Базовые цены с учетом расхода'!N16:N17),2)</f>
        <v>0</v>
      </c>
      <c r="G114" s="23"/>
      <c r="H114" s="23"/>
      <c r="I114" s="23"/>
      <c r="J114" s="27"/>
      <c r="K114" s="27"/>
      <c r="L114" s="23"/>
    </row>
    <row r="115" spans="1:12" ht="10.5">
      <c r="A115" s="24">
        <v>19</v>
      </c>
      <c r="B115" s="7" t="s">
        <v>81</v>
      </c>
      <c r="C115" s="28" t="s">
        <v>244</v>
      </c>
      <c r="D115" s="31">
        <v>0</v>
      </c>
      <c r="F115" s="23">
        <f>ROUND(SUMIF(Определители!I16:I17,"=1",'Базовые цены с учетом расхода'!O16:O17),2)</f>
        <v>0</v>
      </c>
      <c r="G115" s="23"/>
      <c r="H115" s="23"/>
      <c r="I115" s="23"/>
      <c r="J115" s="27"/>
      <c r="K115" s="27"/>
      <c r="L115" s="23"/>
    </row>
    <row r="116" spans="1:12" ht="10.5">
      <c r="A116" s="24">
        <v>20</v>
      </c>
      <c r="B116" s="7" t="s">
        <v>72</v>
      </c>
      <c r="C116" s="28" t="s">
        <v>244</v>
      </c>
      <c r="D116" s="31">
        <v>0</v>
      </c>
      <c r="F116" s="23" t="e">
        <f>ROUND(СУММПРОИЗВЕСЛИ(1,Определители!I16:I17," ",'Базовые цены с учетом расхода'!M16:M17,Начисления!I16:I17,0),2)</f>
        <v>#NAME?</v>
      </c>
      <c r="G116" s="23"/>
      <c r="H116" s="23"/>
      <c r="I116" s="23"/>
      <c r="J116" s="27"/>
      <c r="K116" s="27"/>
      <c r="L116" s="23"/>
    </row>
    <row r="117" spans="1:12" ht="10.5">
      <c r="A117" s="24">
        <v>21</v>
      </c>
      <c r="B117" s="7" t="s">
        <v>82</v>
      </c>
      <c r="C117" s="28" t="s">
        <v>245</v>
      </c>
      <c r="D117" s="31">
        <v>0</v>
      </c>
      <c r="F117" s="23">
        <f>ROUND((F108+F114+F115),2)</f>
        <v>0</v>
      </c>
      <c r="G117" s="23"/>
      <c r="H117" s="23"/>
      <c r="I117" s="23"/>
      <c r="J117" s="27"/>
      <c r="K117" s="27"/>
      <c r="L117" s="23"/>
    </row>
    <row r="118" spans="1:12" ht="10.5">
      <c r="A118" s="24">
        <v>22</v>
      </c>
      <c r="B118" s="7" t="s">
        <v>83</v>
      </c>
      <c r="C118" s="28" t="s">
        <v>244</v>
      </c>
      <c r="D118" s="31">
        <v>0</v>
      </c>
      <c r="F118" s="23">
        <f>ROUND(SUMIF(Определители!I16:I17,"=2",'Базовые цены с учетом расхода'!B16:B17),2)</f>
        <v>63.08</v>
      </c>
      <c r="G118" s="23">
        <f>ROUND(SUMIF(Определители!I16:I17,"=2",'Базовые цены с учетом расхода'!C16:C17),2)</f>
        <v>24.32</v>
      </c>
      <c r="H118" s="23">
        <f>ROUND(SUMIF(Определители!I16:I17,"=2",'Базовые цены с учетом расхода'!D16:D17),2)</f>
        <v>30.98</v>
      </c>
      <c r="I118" s="23">
        <f>ROUND(SUMIF(Определители!I16:I17,"=2",'Базовые цены с учетом расхода'!E16:E17),2)</f>
        <v>5.65</v>
      </c>
      <c r="J118" s="27" t="e">
        <f>ROUND(SUMIF(Определители!I16:I17,"=2",'Базовые цены с учетом расхода'!I16:I17),8)</f>
        <v>#NAME?</v>
      </c>
      <c r="K118" s="27" t="e">
        <f>ROUND(SUMIF(Определители!I16:I17,"=2",'Базовые цены с учетом расхода'!K16:K17),8)</f>
        <v>#NAME?</v>
      </c>
      <c r="L118" s="23">
        <f>ROUND(SUMIF(Определители!I16:I17,"=2",'Базовые цены с учетом расхода'!F16:F17),2)</f>
        <v>7.78</v>
      </c>
    </row>
    <row r="119" spans="1:12" ht="10.5">
      <c r="A119" s="24">
        <v>23</v>
      </c>
      <c r="B119" s="7" t="s">
        <v>75</v>
      </c>
      <c r="C119" s="28" t="s">
        <v>244</v>
      </c>
      <c r="D119" s="31">
        <v>0</v>
      </c>
      <c r="F119" s="23"/>
      <c r="G119" s="23"/>
      <c r="H119" s="23"/>
      <c r="I119" s="23"/>
      <c r="J119" s="27"/>
      <c r="K119" s="27"/>
      <c r="L119" s="23"/>
    </row>
    <row r="120" spans="1:12" ht="10.5">
      <c r="A120" s="24">
        <v>24</v>
      </c>
      <c r="B120" s="7" t="s">
        <v>84</v>
      </c>
      <c r="C120" s="28" t="s">
        <v>244</v>
      </c>
      <c r="D120" s="31">
        <v>0</v>
      </c>
      <c r="F120" s="23" t="e">
        <f>ROUND(СУММЕСЛИ2(Определители!I16:I17,"2",Определители!G16:G17,"1",'Базовые цены с учетом расхода'!B16:B17),2)</f>
        <v>#NAME?</v>
      </c>
      <c r="G120" s="23"/>
      <c r="H120" s="23"/>
      <c r="I120" s="23"/>
      <c r="J120" s="27"/>
      <c r="K120" s="27"/>
      <c r="L120" s="23"/>
    </row>
    <row r="121" spans="1:12" ht="10.5">
      <c r="A121" s="24">
        <v>25</v>
      </c>
      <c r="B121" s="7" t="s">
        <v>79</v>
      </c>
      <c r="C121" s="28" t="s">
        <v>244</v>
      </c>
      <c r="D121" s="31">
        <v>0</v>
      </c>
      <c r="F121" s="23">
        <f>ROUND(SUMIF(Определители!I16:I17,"=2",'Базовые цены с учетом расхода'!H16:H17),2)</f>
        <v>0</v>
      </c>
      <c r="G121" s="23"/>
      <c r="H121" s="23"/>
      <c r="I121" s="23"/>
      <c r="J121" s="27"/>
      <c r="K121" s="27"/>
      <c r="L121" s="23"/>
    </row>
    <row r="122" spans="1:12" ht="10.5">
      <c r="A122" s="24">
        <v>26</v>
      </c>
      <c r="B122" s="7" t="s">
        <v>80</v>
      </c>
      <c r="C122" s="28" t="s">
        <v>244</v>
      </c>
      <c r="D122" s="31">
        <v>0</v>
      </c>
      <c r="F122" s="23">
        <f>ROUND(SUMIF(Определители!I16:I17,"=2",'Базовые цены с учетом расхода'!N16:N17),2)</f>
        <v>29.67</v>
      </c>
      <c r="G122" s="23"/>
      <c r="H122" s="23"/>
      <c r="I122" s="23"/>
      <c r="J122" s="27"/>
      <c r="K122" s="27"/>
      <c r="L122" s="23"/>
    </row>
    <row r="123" spans="1:12" ht="10.5">
      <c r="A123" s="24">
        <v>27</v>
      </c>
      <c r="B123" s="7" t="s">
        <v>81</v>
      </c>
      <c r="C123" s="28" t="s">
        <v>244</v>
      </c>
      <c r="D123" s="31">
        <v>0</v>
      </c>
      <c r="F123" s="23">
        <f>ROUND(SUMIF(Определители!I16:I17,"=2",'Базовые цены с учетом расхода'!O16:O17),2)</f>
        <v>17.98</v>
      </c>
      <c r="G123" s="23"/>
      <c r="H123" s="23"/>
      <c r="I123" s="23"/>
      <c r="J123" s="27"/>
      <c r="K123" s="27"/>
      <c r="L123" s="23"/>
    </row>
    <row r="124" spans="1:12" ht="10.5">
      <c r="A124" s="24">
        <v>28</v>
      </c>
      <c r="B124" s="7" t="s">
        <v>85</v>
      </c>
      <c r="C124" s="28" t="s">
        <v>245</v>
      </c>
      <c r="D124" s="31">
        <v>0</v>
      </c>
      <c r="F124" s="23">
        <f>ROUND((F118+F122+F123),2)</f>
        <v>110.73</v>
      </c>
      <c r="G124" s="23"/>
      <c r="H124" s="23"/>
      <c r="I124" s="23"/>
      <c r="J124" s="27"/>
      <c r="K124" s="27"/>
      <c r="L124" s="23"/>
    </row>
    <row r="125" spans="1:12" ht="10.5">
      <c r="A125" s="24">
        <v>29</v>
      </c>
      <c r="B125" s="7" t="s">
        <v>86</v>
      </c>
      <c r="C125" s="28" t="s">
        <v>244</v>
      </c>
      <c r="D125" s="31">
        <v>0</v>
      </c>
      <c r="F125" s="23">
        <f>ROUND(SUMIF(Определители!I16:I17,"=3",'Базовые цены с учетом расхода'!B16:B17),2)</f>
        <v>0</v>
      </c>
      <c r="G125" s="23">
        <f>ROUND(SUMIF(Определители!I16:I17,"=3",'Базовые цены с учетом расхода'!C16:C17),2)</f>
        <v>0</v>
      </c>
      <c r="H125" s="23">
        <f>ROUND(SUMIF(Определители!I16:I17,"=3",'Базовые цены с учетом расхода'!D16:D17),2)</f>
        <v>0</v>
      </c>
      <c r="I125" s="23">
        <f>ROUND(SUMIF(Определители!I16:I17,"=3",'Базовые цены с учетом расхода'!E16:E17),2)</f>
        <v>0</v>
      </c>
      <c r="J125" s="27">
        <f>ROUND(SUMIF(Определители!I16:I17,"=3",'Базовые цены с учетом расхода'!I16:I17),8)</f>
        <v>0</v>
      </c>
      <c r="K125" s="27">
        <f>ROUND(SUMIF(Определители!I16:I17,"=3",'Базовые цены с учетом расхода'!K16:K17),8)</f>
        <v>0</v>
      </c>
      <c r="L125" s="23">
        <f>ROUND(SUMIF(Определители!I16:I17,"=3",'Базовые цены с учетом расхода'!F16:F17),2)</f>
        <v>0</v>
      </c>
    </row>
    <row r="126" spans="1:12" ht="10.5">
      <c r="A126" s="24">
        <v>30</v>
      </c>
      <c r="B126" s="7" t="s">
        <v>79</v>
      </c>
      <c r="C126" s="28" t="s">
        <v>244</v>
      </c>
      <c r="D126" s="31">
        <v>0</v>
      </c>
      <c r="F126" s="23">
        <f>ROUND(SUMIF(Определители!I16:I17,"=3",'Базовые цены с учетом расхода'!H16:H17),2)</f>
        <v>0</v>
      </c>
      <c r="G126" s="23"/>
      <c r="H126" s="23"/>
      <c r="I126" s="23"/>
      <c r="J126" s="27"/>
      <c r="K126" s="27"/>
      <c r="L126" s="23"/>
    </row>
    <row r="127" spans="1:12" ht="10.5">
      <c r="A127" s="24">
        <v>31</v>
      </c>
      <c r="B127" s="7" t="s">
        <v>80</v>
      </c>
      <c r="C127" s="28" t="s">
        <v>244</v>
      </c>
      <c r="D127" s="31">
        <v>0</v>
      </c>
      <c r="F127" s="23">
        <f>ROUND(SUMIF(Определители!I16:I17,"=3",'Базовые цены с учетом расхода'!N16:N17),2)</f>
        <v>0</v>
      </c>
      <c r="G127" s="23"/>
      <c r="H127" s="23"/>
      <c r="I127" s="23"/>
      <c r="J127" s="27"/>
      <c r="K127" s="27"/>
      <c r="L127" s="23"/>
    </row>
    <row r="128" spans="1:12" ht="10.5">
      <c r="A128" s="24">
        <v>32</v>
      </c>
      <c r="B128" s="7" t="s">
        <v>81</v>
      </c>
      <c r="C128" s="28" t="s">
        <v>244</v>
      </c>
      <c r="D128" s="31">
        <v>0</v>
      </c>
      <c r="F128" s="23">
        <f>ROUND(SUMIF(Определители!I16:I17,"=3",'Базовые цены с учетом расхода'!O16:O17),2)</f>
        <v>0</v>
      </c>
      <c r="G128" s="23"/>
      <c r="H128" s="23"/>
      <c r="I128" s="23"/>
      <c r="J128" s="27"/>
      <c r="K128" s="27"/>
      <c r="L128" s="23"/>
    </row>
    <row r="129" spans="1:12" ht="10.5">
      <c r="A129" s="24">
        <v>33</v>
      </c>
      <c r="B129" s="7" t="s">
        <v>87</v>
      </c>
      <c r="C129" s="28" t="s">
        <v>245</v>
      </c>
      <c r="D129" s="31">
        <v>0</v>
      </c>
      <c r="F129" s="23">
        <f>ROUND((F125+F127+F128),2)</f>
        <v>0</v>
      </c>
      <c r="G129" s="23"/>
      <c r="H129" s="23"/>
      <c r="I129" s="23"/>
      <c r="J129" s="27"/>
      <c r="K129" s="27"/>
      <c r="L129" s="23"/>
    </row>
    <row r="130" spans="1:12" ht="10.5">
      <c r="A130" s="24">
        <v>34</v>
      </c>
      <c r="B130" s="7" t="s">
        <v>88</v>
      </c>
      <c r="C130" s="28" t="s">
        <v>244</v>
      </c>
      <c r="D130" s="31">
        <v>0</v>
      </c>
      <c r="F130" s="23">
        <f>ROUND(SUMIF(Определители!I16:I17,"=4",'Базовые цены с учетом расхода'!B16:B17),2)</f>
        <v>0</v>
      </c>
      <c r="G130" s="23">
        <f>ROUND(SUMIF(Определители!I16:I17,"=4",'Базовые цены с учетом расхода'!C16:C17),2)</f>
        <v>0</v>
      </c>
      <c r="H130" s="23">
        <f>ROUND(SUMIF(Определители!I16:I17,"=4",'Базовые цены с учетом расхода'!D16:D17),2)</f>
        <v>0</v>
      </c>
      <c r="I130" s="23">
        <f>ROUND(SUMIF(Определители!I16:I17,"=4",'Базовые цены с учетом расхода'!E16:E17),2)</f>
        <v>0</v>
      </c>
      <c r="J130" s="27">
        <f>ROUND(SUMIF(Определители!I16:I17,"=4",'Базовые цены с учетом расхода'!I16:I17),8)</f>
        <v>0</v>
      </c>
      <c r="K130" s="27">
        <f>ROUND(SUMIF(Определители!I16:I17,"=4",'Базовые цены с учетом расхода'!K16:K17),8)</f>
        <v>0</v>
      </c>
      <c r="L130" s="23">
        <f>ROUND(SUMIF(Определители!I16:I17,"=4",'Базовые цены с учетом расхода'!F16:F17),2)</f>
        <v>0</v>
      </c>
    </row>
    <row r="131" spans="1:12" ht="10.5">
      <c r="A131" s="24">
        <v>35</v>
      </c>
      <c r="B131" s="7" t="s">
        <v>75</v>
      </c>
      <c r="C131" s="28" t="s">
        <v>244</v>
      </c>
      <c r="D131" s="31">
        <v>0</v>
      </c>
      <c r="F131" s="23"/>
      <c r="G131" s="23"/>
      <c r="H131" s="23"/>
      <c r="I131" s="23"/>
      <c r="J131" s="27"/>
      <c r="K131" s="27"/>
      <c r="L131" s="23"/>
    </row>
    <row r="132" spans="1:12" ht="10.5">
      <c r="A132" s="24">
        <v>36</v>
      </c>
      <c r="B132" s="7" t="s">
        <v>89</v>
      </c>
      <c r="C132" s="28" t="s">
        <v>244</v>
      </c>
      <c r="D132" s="31">
        <v>0</v>
      </c>
      <c r="F132" s="23"/>
      <c r="G132" s="23"/>
      <c r="H132" s="23"/>
      <c r="I132" s="23"/>
      <c r="J132" s="27"/>
      <c r="K132" s="27"/>
      <c r="L132" s="23"/>
    </row>
    <row r="133" spans="1:12" ht="10.5">
      <c r="A133" s="24">
        <v>37</v>
      </c>
      <c r="B133" s="7" t="s">
        <v>79</v>
      </c>
      <c r="C133" s="28" t="s">
        <v>244</v>
      </c>
      <c r="D133" s="31">
        <v>0</v>
      </c>
      <c r="F133" s="23">
        <f>ROUND(SUMIF(Определители!I16:I17,"=4",'Базовые цены с учетом расхода'!H16:H17),2)</f>
        <v>0</v>
      </c>
      <c r="G133" s="23"/>
      <c r="H133" s="23"/>
      <c r="I133" s="23"/>
      <c r="J133" s="27"/>
      <c r="K133" s="27"/>
      <c r="L133" s="23"/>
    </row>
    <row r="134" spans="1:12" ht="10.5">
      <c r="A134" s="24">
        <v>38</v>
      </c>
      <c r="B134" s="7" t="s">
        <v>80</v>
      </c>
      <c r="C134" s="28" t="s">
        <v>244</v>
      </c>
      <c r="D134" s="31">
        <v>0</v>
      </c>
      <c r="F134" s="23">
        <f>ROUND(SUMIF(Определители!I16:I17,"=4",'Базовые цены с учетом расхода'!N16:N17),2)</f>
        <v>0</v>
      </c>
      <c r="G134" s="23"/>
      <c r="H134" s="23"/>
      <c r="I134" s="23"/>
      <c r="J134" s="27"/>
      <c r="K134" s="27"/>
      <c r="L134" s="23"/>
    </row>
    <row r="135" spans="1:12" ht="10.5">
      <c r="A135" s="24">
        <v>39</v>
      </c>
      <c r="B135" s="7" t="s">
        <v>81</v>
      </c>
      <c r="C135" s="28" t="s">
        <v>244</v>
      </c>
      <c r="D135" s="31">
        <v>0</v>
      </c>
      <c r="F135" s="23">
        <f>ROUND(SUMIF(Определители!I16:I17,"=4",'Базовые цены с учетом расхода'!O16:O17),2)</f>
        <v>0</v>
      </c>
      <c r="G135" s="23"/>
      <c r="H135" s="23"/>
      <c r="I135" s="23"/>
      <c r="J135" s="27"/>
      <c r="K135" s="27"/>
      <c r="L135" s="23"/>
    </row>
    <row r="136" spans="1:12" ht="10.5">
      <c r="A136" s="24">
        <v>40</v>
      </c>
      <c r="B136" s="7" t="s">
        <v>72</v>
      </c>
      <c r="C136" s="28" t="s">
        <v>244</v>
      </c>
      <c r="D136" s="31">
        <v>0</v>
      </c>
      <c r="F136" s="23" t="e">
        <f>ROUND(СУММПРОИЗВЕСЛИ(1,Определители!I16:I17," ",'Базовые цены с учетом расхода'!M16:M17,Начисления!I16:I17,0),2)</f>
        <v>#NAME?</v>
      </c>
      <c r="G136" s="23"/>
      <c r="H136" s="23"/>
      <c r="I136" s="23"/>
      <c r="J136" s="27"/>
      <c r="K136" s="27"/>
      <c r="L136" s="23"/>
    </row>
    <row r="137" spans="1:12" ht="10.5">
      <c r="A137" s="24">
        <v>41</v>
      </c>
      <c r="B137" s="7" t="s">
        <v>92</v>
      </c>
      <c r="C137" s="28" t="s">
        <v>245</v>
      </c>
      <c r="D137" s="31">
        <v>0</v>
      </c>
      <c r="F137" s="23">
        <f>ROUND((F130+F134+F135),2)</f>
        <v>0</v>
      </c>
      <c r="G137" s="23"/>
      <c r="H137" s="23"/>
      <c r="I137" s="23"/>
      <c r="J137" s="27"/>
      <c r="K137" s="27"/>
      <c r="L137" s="23"/>
    </row>
    <row r="138" spans="1:12" ht="10.5">
      <c r="A138" s="24">
        <v>42</v>
      </c>
      <c r="B138" s="7" t="s">
        <v>93</v>
      </c>
      <c r="C138" s="28" t="s">
        <v>244</v>
      </c>
      <c r="D138" s="31">
        <v>0</v>
      </c>
      <c r="F138" s="23">
        <f>ROUND(SUMIF(Определители!I16:I17,"=5",'Базовые цены с учетом расхода'!B16:B17),2)</f>
        <v>0</v>
      </c>
      <c r="G138" s="23">
        <f>ROUND(SUMIF(Определители!I16:I17,"=5",'Базовые цены с учетом расхода'!C16:C17),2)</f>
        <v>0</v>
      </c>
      <c r="H138" s="23">
        <f>ROUND(SUMIF(Определители!I16:I17,"=5",'Базовые цены с учетом расхода'!D16:D17),2)</f>
        <v>0</v>
      </c>
      <c r="I138" s="23">
        <f>ROUND(SUMIF(Определители!I16:I17,"=5",'Базовые цены с учетом расхода'!E16:E17),2)</f>
        <v>0</v>
      </c>
      <c r="J138" s="27">
        <f>ROUND(SUMIF(Определители!I16:I17,"=5",'Базовые цены с учетом расхода'!I16:I17),8)</f>
        <v>0</v>
      </c>
      <c r="K138" s="27">
        <f>ROUND(SUMIF(Определители!I16:I17,"=5",'Базовые цены с учетом расхода'!K16:K17),8)</f>
        <v>0</v>
      </c>
      <c r="L138" s="23">
        <f>ROUND(SUMIF(Определители!I16:I17,"=5",'Базовые цены с учетом расхода'!F16:F17),2)</f>
        <v>0</v>
      </c>
    </row>
    <row r="139" spans="1:12" ht="10.5">
      <c r="A139" s="24">
        <v>43</v>
      </c>
      <c r="B139" s="7" t="s">
        <v>79</v>
      </c>
      <c r="C139" s="28" t="s">
        <v>244</v>
      </c>
      <c r="D139" s="31">
        <v>0</v>
      </c>
      <c r="F139" s="23">
        <f>ROUND(SUMIF(Определители!I16:I17,"=5",'Базовые цены с учетом расхода'!H16:H17),2)</f>
        <v>0</v>
      </c>
      <c r="G139" s="23"/>
      <c r="H139" s="23"/>
      <c r="I139" s="23"/>
      <c r="J139" s="27"/>
      <c r="K139" s="27"/>
      <c r="L139" s="23"/>
    </row>
    <row r="140" spans="1:12" ht="10.5">
      <c r="A140" s="24">
        <v>44</v>
      </c>
      <c r="B140" s="7" t="s">
        <v>80</v>
      </c>
      <c r="C140" s="28" t="s">
        <v>244</v>
      </c>
      <c r="D140" s="31">
        <v>0</v>
      </c>
      <c r="F140" s="23">
        <f>ROUND(SUMIF(Определители!I16:I17,"=5",'Базовые цены с учетом расхода'!N16:N17),2)</f>
        <v>0</v>
      </c>
      <c r="G140" s="23"/>
      <c r="H140" s="23"/>
      <c r="I140" s="23"/>
      <c r="J140" s="27"/>
      <c r="K140" s="27"/>
      <c r="L140" s="23"/>
    </row>
    <row r="141" spans="1:12" ht="10.5">
      <c r="A141" s="24">
        <v>45</v>
      </c>
      <c r="B141" s="7" t="s">
        <v>81</v>
      </c>
      <c r="C141" s="28" t="s">
        <v>244</v>
      </c>
      <c r="D141" s="31">
        <v>0</v>
      </c>
      <c r="F141" s="23">
        <f>ROUND(SUMIF(Определители!I16:I17,"=5",'Базовые цены с учетом расхода'!O16:O17),2)</f>
        <v>0</v>
      </c>
      <c r="G141" s="23"/>
      <c r="H141" s="23"/>
      <c r="I141" s="23"/>
      <c r="J141" s="27"/>
      <c r="K141" s="27"/>
      <c r="L141" s="23"/>
    </row>
    <row r="142" spans="1:12" ht="10.5">
      <c r="A142" s="24">
        <v>46</v>
      </c>
      <c r="B142" s="7" t="s">
        <v>94</v>
      </c>
      <c r="C142" s="28" t="s">
        <v>245</v>
      </c>
      <c r="D142" s="31">
        <v>0</v>
      </c>
      <c r="F142" s="23">
        <f>ROUND((F138+F140+F141),2)</f>
        <v>0</v>
      </c>
      <c r="G142" s="23"/>
      <c r="H142" s="23"/>
      <c r="I142" s="23"/>
      <c r="J142" s="27"/>
      <c r="K142" s="27"/>
      <c r="L142" s="23"/>
    </row>
    <row r="143" spans="1:12" ht="10.5">
      <c r="A143" s="24">
        <v>47</v>
      </c>
      <c r="B143" s="7" t="s">
        <v>95</v>
      </c>
      <c r="C143" s="28" t="s">
        <v>244</v>
      </c>
      <c r="D143" s="31">
        <v>0</v>
      </c>
      <c r="F143" s="23">
        <f>ROUND(SUMIF(Определители!I16:I17,"=6",'Базовые цены с учетом расхода'!B16:B17),2)</f>
        <v>0</v>
      </c>
      <c r="G143" s="23">
        <f>ROUND(SUMIF(Определители!I16:I17,"=6",'Базовые цены с учетом расхода'!C16:C17),2)</f>
        <v>0</v>
      </c>
      <c r="H143" s="23">
        <f>ROUND(SUMIF(Определители!I16:I17,"=6",'Базовые цены с учетом расхода'!D16:D17),2)</f>
        <v>0</v>
      </c>
      <c r="I143" s="23">
        <f>ROUND(SUMIF(Определители!I16:I17,"=6",'Базовые цены с учетом расхода'!E16:E17),2)</f>
        <v>0</v>
      </c>
      <c r="J143" s="27">
        <f>ROUND(SUMIF(Определители!I16:I17,"=6",'Базовые цены с учетом расхода'!I16:I17),8)</f>
        <v>0</v>
      </c>
      <c r="K143" s="27">
        <f>ROUND(SUMIF(Определители!I16:I17,"=6",'Базовые цены с учетом расхода'!K16:K17),8)</f>
        <v>0</v>
      </c>
      <c r="L143" s="23">
        <f>ROUND(SUMIF(Определители!I16:I17,"=6",'Базовые цены с учетом расхода'!F16:F17),2)</f>
        <v>0</v>
      </c>
    </row>
    <row r="144" spans="1:12" ht="10.5">
      <c r="A144" s="24">
        <v>48</v>
      </c>
      <c r="B144" s="7" t="s">
        <v>79</v>
      </c>
      <c r="C144" s="28" t="s">
        <v>244</v>
      </c>
      <c r="D144" s="31">
        <v>0</v>
      </c>
      <c r="F144" s="23">
        <f>ROUND(SUMIF(Определители!I16:I17,"=6",'Базовые цены с учетом расхода'!H16:H17),2)</f>
        <v>0</v>
      </c>
      <c r="G144" s="23"/>
      <c r="H144" s="23"/>
      <c r="I144" s="23"/>
      <c r="J144" s="27"/>
      <c r="K144" s="27"/>
      <c r="L144" s="23"/>
    </row>
    <row r="145" spans="1:12" ht="10.5">
      <c r="A145" s="24">
        <v>49</v>
      </c>
      <c r="B145" s="7" t="s">
        <v>80</v>
      </c>
      <c r="C145" s="28" t="s">
        <v>244</v>
      </c>
      <c r="D145" s="31">
        <v>0</v>
      </c>
      <c r="F145" s="23">
        <f>ROUND(SUMIF(Определители!I16:I17,"=6",'Базовые цены с учетом расхода'!N16:N17),2)</f>
        <v>0</v>
      </c>
      <c r="G145" s="23"/>
      <c r="H145" s="23"/>
      <c r="I145" s="23"/>
      <c r="J145" s="27"/>
      <c r="K145" s="27"/>
      <c r="L145" s="23"/>
    </row>
    <row r="146" spans="1:12" ht="10.5">
      <c r="A146" s="24">
        <v>50</v>
      </c>
      <c r="B146" s="7" t="s">
        <v>81</v>
      </c>
      <c r="C146" s="28" t="s">
        <v>244</v>
      </c>
      <c r="D146" s="31">
        <v>0</v>
      </c>
      <c r="F146" s="23">
        <f>ROUND(SUMIF(Определители!I16:I17,"=6",'Базовые цены с учетом расхода'!O16:O17),2)</f>
        <v>0</v>
      </c>
      <c r="G146" s="23"/>
      <c r="H146" s="23"/>
      <c r="I146" s="23"/>
      <c r="J146" s="27"/>
      <c r="K146" s="27"/>
      <c r="L146" s="23"/>
    </row>
    <row r="147" spans="1:12" ht="10.5">
      <c r="A147" s="24">
        <v>51</v>
      </c>
      <c r="B147" s="7" t="s">
        <v>96</v>
      </c>
      <c r="C147" s="28" t="s">
        <v>245</v>
      </c>
      <c r="D147" s="31">
        <v>0</v>
      </c>
      <c r="F147" s="23">
        <f>ROUND((F143+F145+F146),2)</f>
        <v>0</v>
      </c>
      <c r="G147" s="23"/>
      <c r="H147" s="23"/>
      <c r="I147" s="23"/>
      <c r="J147" s="27"/>
      <c r="K147" s="27"/>
      <c r="L147" s="23"/>
    </row>
    <row r="148" spans="1:12" ht="10.5">
      <c r="A148" s="24">
        <v>52</v>
      </c>
      <c r="B148" s="7" t="s">
        <v>97</v>
      </c>
      <c r="C148" s="28" t="s">
        <v>244</v>
      </c>
      <c r="D148" s="31">
        <v>0</v>
      </c>
      <c r="F148" s="23">
        <f>ROUND(SUMIF(Определители!I16:I17,"=7",'Базовые цены с учетом расхода'!B16:B17),2)</f>
        <v>0</v>
      </c>
      <c r="G148" s="23">
        <f>ROUND(SUMIF(Определители!I16:I17,"=7",'Базовые цены с учетом расхода'!C16:C17),2)</f>
        <v>0</v>
      </c>
      <c r="H148" s="23">
        <f>ROUND(SUMIF(Определители!I16:I17,"=7",'Базовые цены с учетом расхода'!D16:D17),2)</f>
        <v>0</v>
      </c>
      <c r="I148" s="23">
        <f>ROUND(SUMIF(Определители!I16:I17,"=7",'Базовые цены с учетом расхода'!E16:E17),2)</f>
        <v>0</v>
      </c>
      <c r="J148" s="27">
        <f>ROUND(SUMIF(Определители!I16:I17,"=7",'Базовые цены с учетом расхода'!I16:I17),8)</f>
        <v>0</v>
      </c>
      <c r="K148" s="27">
        <f>ROUND(SUMIF(Определители!I16:I17,"=7",'Базовые цены с учетом расхода'!K16:K17),8)</f>
        <v>0</v>
      </c>
      <c r="L148" s="23">
        <f>ROUND(SUMIF(Определители!I16:I17,"=7",'Базовые цены с учетом расхода'!F16:F17),2)</f>
        <v>0</v>
      </c>
    </row>
    <row r="149" spans="1:12" ht="10.5">
      <c r="A149" s="24">
        <v>53</v>
      </c>
      <c r="B149" s="7" t="s">
        <v>75</v>
      </c>
      <c r="C149" s="28" t="s">
        <v>244</v>
      </c>
      <c r="D149" s="31">
        <v>0</v>
      </c>
      <c r="F149" s="23"/>
      <c r="G149" s="23"/>
      <c r="H149" s="23"/>
      <c r="I149" s="23"/>
      <c r="J149" s="27"/>
      <c r="K149" s="27"/>
      <c r="L149" s="23"/>
    </row>
    <row r="150" spans="1:12" ht="10.5">
      <c r="A150" s="24">
        <v>54</v>
      </c>
      <c r="B150" s="7" t="s">
        <v>98</v>
      </c>
      <c r="C150" s="28" t="s">
        <v>244</v>
      </c>
      <c r="D150" s="31">
        <v>0</v>
      </c>
      <c r="F150" s="23" t="e">
        <f>ROUND(СУММЕСЛИ2(Определители!I16:I17,"2",Определители!G16:G17,"1",'Базовые цены с учетом расхода'!B16:B17),2)</f>
        <v>#NAME?</v>
      </c>
      <c r="G150" s="23"/>
      <c r="H150" s="23"/>
      <c r="I150" s="23"/>
      <c r="J150" s="27"/>
      <c r="K150" s="27"/>
      <c r="L150" s="23"/>
    </row>
    <row r="151" spans="1:12" ht="10.5">
      <c r="A151" s="24">
        <v>55</v>
      </c>
      <c r="B151" s="7" t="s">
        <v>79</v>
      </c>
      <c r="C151" s="28" t="s">
        <v>244</v>
      </c>
      <c r="D151" s="31">
        <v>0</v>
      </c>
      <c r="F151" s="23">
        <f>ROUND(SUMIF(Определители!I16:I17,"=7",'Базовые цены с учетом расхода'!H16:H17),2)</f>
        <v>0</v>
      </c>
      <c r="G151" s="23"/>
      <c r="H151" s="23"/>
      <c r="I151" s="23"/>
      <c r="J151" s="27"/>
      <c r="K151" s="27"/>
      <c r="L151" s="23"/>
    </row>
    <row r="152" spans="1:12" ht="10.5">
      <c r="A152" s="24">
        <v>56</v>
      </c>
      <c r="B152" s="7" t="s">
        <v>99</v>
      </c>
      <c r="C152" s="28" t="s">
        <v>244</v>
      </c>
      <c r="D152" s="31">
        <v>0</v>
      </c>
      <c r="F152" s="23">
        <f>ROUND(SUMIF(Определители!I16:I17,"=7",'Базовые цены с учетом расхода'!N16:N17),2)</f>
        <v>0</v>
      </c>
      <c r="G152" s="23"/>
      <c r="H152" s="23"/>
      <c r="I152" s="23"/>
      <c r="J152" s="27"/>
      <c r="K152" s="27"/>
      <c r="L152" s="23"/>
    </row>
    <row r="153" spans="1:12" ht="10.5">
      <c r="A153" s="24">
        <v>57</v>
      </c>
      <c r="B153" s="7" t="s">
        <v>81</v>
      </c>
      <c r="C153" s="28" t="s">
        <v>244</v>
      </c>
      <c r="D153" s="31">
        <v>0</v>
      </c>
      <c r="F153" s="23">
        <f>ROUND(SUMIF(Определители!I16:I17,"=7",'Базовые цены с учетом расхода'!O16:O17),2)</f>
        <v>0</v>
      </c>
      <c r="G153" s="23"/>
      <c r="H153" s="23"/>
      <c r="I153" s="23"/>
      <c r="J153" s="27"/>
      <c r="K153" s="27"/>
      <c r="L153" s="23"/>
    </row>
    <row r="154" spans="1:12" ht="10.5">
      <c r="A154" s="24">
        <v>58</v>
      </c>
      <c r="B154" s="7" t="s">
        <v>100</v>
      </c>
      <c r="C154" s="28" t="s">
        <v>245</v>
      </c>
      <c r="D154" s="31">
        <v>0</v>
      </c>
      <c r="F154" s="23">
        <f>ROUND((F148+F152+F153),2)</f>
        <v>0</v>
      </c>
      <c r="G154" s="23"/>
      <c r="H154" s="23"/>
      <c r="I154" s="23"/>
      <c r="J154" s="27"/>
      <c r="K154" s="27"/>
      <c r="L154" s="23"/>
    </row>
    <row r="155" spans="1:12" ht="10.5">
      <c r="A155" s="24">
        <v>59</v>
      </c>
      <c r="B155" s="7" t="s">
        <v>101</v>
      </c>
      <c r="C155" s="28" t="s">
        <v>244</v>
      </c>
      <c r="D155" s="31">
        <v>0</v>
      </c>
      <c r="F155" s="23">
        <f>ROUND(SUMIF(Определители!I16:I17,"=9",'Базовые цены с учетом расхода'!B16:B17),2)</f>
        <v>0</v>
      </c>
      <c r="G155" s="23">
        <f>ROUND(SUMIF(Определители!I16:I17,"=9",'Базовые цены с учетом расхода'!C16:C17),2)</f>
        <v>0</v>
      </c>
      <c r="H155" s="23">
        <f>ROUND(SUMIF(Определители!I16:I17,"=9",'Базовые цены с учетом расхода'!D16:D17),2)</f>
        <v>0</v>
      </c>
      <c r="I155" s="23">
        <f>ROUND(SUMIF(Определители!I16:I17,"=9",'Базовые цены с учетом расхода'!E16:E17),2)</f>
        <v>0</v>
      </c>
      <c r="J155" s="27">
        <f>ROUND(SUMIF(Определители!I16:I17,"=9",'Базовые цены с учетом расхода'!I16:I17),8)</f>
        <v>0</v>
      </c>
      <c r="K155" s="27">
        <f>ROUND(SUMIF(Определители!I16:I17,"=9",'Базовые цены с учетом расхода'!K16:K17),8)</f>
        <v>0</v>
      </c>
      <c r="L155" s="23">
        <f>ROUND(SUMIF(Определители!I16:I17,"=9",'Базовые цены с учетом расхода'!F16:F17),2)</f>
        <v>0</v>
      </c>
    </row>
    <row r="156" spans="1:12" ht="10.5">
      <c r="A156" s="24">
        <v>60</v>
      </c>
      <c r="B156" s="7" t="s">
        <v>99</v>
      </c>
      <c r="C156" s="28" t="s">
        <v>244</v>
      </c>
      <c r="D156" s="31">
        <v>0</v>
      </c>
      <c r="F156" s="23">
        <f>ROUND(SUMIF(Определители!I16:I17,"=9",'Базовые цены с учетом расхода'!N16:N17),2)</f>
        <v>0</v>
      </c>
      <c r="G156" s="23"/>
      <c r="H156" s="23"/>
      <c r="I156" s="23"/>
      <c r="J156" s="27"/>
      <c r="K156" s="27"/>
      <c r="L156" s="23"/>
    </row>
    <row r="157" spans="1:12" ht="10.5">
      <c r="A157" s="24">
        <v>61</v>
      </c>
      <c r="B157" s="7" t="s">
        <v>81</v>
      </c>
      <c r="C157" s="28" t="s">
        <v>244</v>
      </c>
      <c r="D157" s="31">
        <v>0</v>
      </c>
      <c r="F157" s="23">
        <f>ROUND(SUMIF(Определители!I16:I17,"=9",'Базовые цены с учетом расхода'!O16:O17),2)</f>
        <v>0</v>
      </c>
      <c r="G157" s="23"/>
      <c r="H157" s="23"/>
      <c r="I157" s="23"/>
      <c r="J157" s="27"/>
      <c r="K157" s="27"/>
      <c r="L157" s="23"/>
    </row>
    <row r="158" spans="1:12" ht="10.5">
      <c r="A158" s="24">
        <v>62</v>
      </c>
      <c r="B158" s="7" t="s">
        <v>102</v>
      </c>
      <c r="C158" s="28" t="s">
        <v>245</v>
      </c>
      <c r="D158" s="31">
        <v>0</v>
      </c>
      <c r="F158" s="23">
        <f>ROUND((F155+F156+F157),2)</f>
        <v>0</v>
      </c>
      <c r="G158" s="23"/>
      <c r="H158" s="23"/>
      <c r="I158" s="23"/>
      <c r="J158" s="27"/>
      <c r="K158" s="27"/>
      <c r="L158" s="23"/>
    </row>
    <row r="159" spans="1:12" ht="10.5">
      <c r="A159" s="24">
        <v>63</v>
      </c>
      <c r="B159" s="7" t="s">
        <v>103</v>
      </c>
      <c r="C159" s="28" t="s">
        <v>244</v>
      </c>
      <c r="D159" s="31">
        <v>0</v>
      </c>
      <c r="F159" s="23">
        <f>ROUND(SUMIF(Определители!I16:I17,"=:",'Базовые цены с учетом расхода'!B16:B17),2)</f>
        <v>0</v>
      </c>
      <c r="G159" s="23">
        <f>ROUND(SUMIF(Определители!I16:I17,"=:",'Базовые цены с учетом расхода'!C16:C17),2)</f>
        <v>0</v>
      </c>
      <c r="H159" s="23">
        <f>ROUND(SUMIF(Определители!I16:I17,"=:",'Базовые цены с учетом расхода'!D16:D17),2)</f>
        <v>0</v>
      </c>
      <c r="I159" s="23">
        <f>ROUND(SUMIF(Определители!I16:I17,"=:",'Базовые цены с учетом расхода'!E16:E17),2)</f>
        <v>0</v>
      </c>
      <c r="J159" s="27">
        <f>ROUND(SUMIF(Определители!I16:I17,"=:",'Базовые цены с учетом расхода'!I16:I17),8)</f>
        <v>0</v>
      </c>
      <c r="K159" s="27">
        <f>ROUND(SUMIF(Определители!I16:I17,"=:",'Базовые цены с учетом расхода'!K16:K17),8)</f>
        <v>0</v>
      </c>
      <c r="L159" s="23">
        <f>ROUND(SUMIF(Определители!I16:I17,"=:",'Базовые цены с учетом расхода'!F16:F17),2)</f>
        <v>0</v>
      </c>
    </row>
    <row r="160" spans="1:12" ht="10.5">
      <c r="A160" s="24">
        <v>64</v>
      </c>
      <c r="B160" s="7" t="s">
        <v>79</v>
      </c>
      <c r="C160" s="28" t="s">
        <v>244</v>
      </c>
      <c r="D160" s="31">
        <v>0</v>
      </c>
      <c r="F160" s="23">
        <f>ROUND(SUMIF(Определители!I16:I17,"=:",'Базовые цены с учетом расхода'!H16:H17),2)</f>
        <v>0</v>
      </c>
      <c r="G160" s="23"/>
      <c r="H160" s="23"/>
      <c r="I160" s="23"/>
      <c r="J160" s="27"/>
      <c r="K160" s="27"/>
      <c r="L160" s="23"/>
    </row>
    <row r="161" spans="1:12" ht="10.5">
      <c r="A161" s="24">
        <v>65</v>
      </c>
      <c r="B161" s="7" t="s">
        <v>99</v>
      </c>
      <c r="C161" s="28" t="s">
        <v>244</v>
      </c>
      <c r="D161" s="31">
        <v>0</v>
      </c>
      <c r="F161" s="23">
        <f>ROUND(SUMIF(Определители!I16:I17,"=:",'Базовые цены с учетом расхода'!N16:N17),2)</f>
        <v>0</v>
      </c>
      <c r="G161" s="23"/>
      <c r="H161" s="23"/>
      <c r="I161" s="23"/>
      <c r="J161" s="27"/>
      <c r="K161" s="27"/>
      <c r="L161" s="23"/>
    </row>
    <row r="162" spans="1:12" ht="10.5">
      <c r="A162" s="24">
        <v>66</v>
      </c>
      <c r="B162" s="7" t="s">
        <v>81</v>
      </c>
      <c r="C162" s="28" t="s">
        <v>244</v>
      </c>
      <c r="D162" s="31">
        <v>0</v>
      </c>
      <c r="F162" s="23">
        <f>ROUND(SUMIF(Определители!I16:I17,"=:",'Базовые цены с учетом расхода'!O16:O17),2)</f>
        <v>0</v>
      </c>
      <c r="G162" s="23"/>
      <c r="H162" s="23"/>
      <c r="I162" s="23"/>
      <c r="J162" s="27"/>
      <c r="K162" s="27"/>
      <c r="L162" s="23"/>
    </row>
    <row r="163" spans="1:12" ht="10.5">
      <c r="A163" s="24">
        <v>67</v>
      </c>
      <c r="B163" s="7" t="s">
        <v>104</v>
      </c>
      <c r="C163" s="28" t="s">
        <v>245</v>
      </c>
      <c r="D163" s="31">
        <v>0</v>
      </c>
      <c r="F163" s="23">
        <f>ROUND((F159+F161+F162),2)</f>
        <v>0</v>
      </c>
      <c r="G163" s="23"/>
      <c r="H163" s="23"/>
      <c r="I163" s="23"/>
      <c r="J163" s="27"/>
      <c r="K163" s="27"/>
      <c r="L163" s="23"/>
    </row>
    <row r="164" spans="1:12" ht="10.5">
      <c r="A164" s="24">
        <v>68</v>
      </c>
      <c r="B164" s="7" t="s">
        <v>105</v>
      </c>
      <c r="C164" s="28" t="s">
        <v>244</v>
      </c>
      <c r="D164" s="31">
        <v>0</v>
      </c>
      <c r="F164" s="23">
        <f>ROUND(SUMIF(Определители!I16:I17,"=8",'Базовые цены с учетом расхода'!B16:B17),2)</f>
        <v>0</v>
      </c>
      <c r="G164" s="23">
        <f>ROUND(SUMIF(Определители!I16:I17,"=8",'Базовые цены с учетом расхода'!C16:C17),2)</f>
        <v>0</v>
      </c>
      <c r="H164" s="23">
        <f>ROUND(SUMIF(Определители!I16:I17,"=8",'Базовые цены с учетом расхода'!D16:D17),2)</f>
        <v>0</v>
      </c>
      <c r="I164" s="23">
        <f>ROUND(SUMIF(Определители!I16:I17,"=8",'Базовые цены с учетом расхода'!E16:E17),2)</f>
        <v>0</v>
      </c>
      <c r="J164" s="27">
        <f>ROUND(SUMIF(Определители!I16:I17,"=8",'Базовые цены с учетом расхода'!I16:I17),8)</f>
        <v>0</v>
      </c>
      <c r="K164" s="27">
        <f>ROUND(SUMIF(Определители!I16:I17,"=8",'Базовые цены с учетом расхода'!K16:K17),8)</f>
        <v>0</v>
      </c>
      <c r="L164" s="23">
        <f>ROUND(SUMIF(Определители!I16:I17,"=8",'Базовые цены с учетом расхода'!F16:F17),2)</f>
        <v>0</v>
      </c>
    </row>
    <row r="165" spans="1:12" ht="10.5">
      <c r="A165" s="24">
        <v>69</v>
      </c>
      <c r="B165" s="7" t="s">
        <v>79</v>
      </c>
      <c r="C165" s="28" t="s">
        <v>244</v>
      </c>
      <c r="D165" s="31">
        <v>0</v>
      </c>
      <c r="F165" s="23">
        <f>ROUND(SUMIF(Определители!I16:I17,"=8",'Базовые цены с учетом расхода'!H16:H17),2)</f>
        <v>0</v>
      </c>
      <c r="G165" s="23"/>
      <c r="H165" s="23"/>
      <c r="I165" s="23"/>
      <c r="J165" s="27"/>
      <c r="K165" s="27"/>
      <c r="L165" s="23"/>
    </row>
    <row r="166" spans="1:12" ht="10.5">
      <c r="A166" s="24">
        <v>70</v>
      </c>
      <c r="B166" s="7" t="s">
        <v>133</v>
      </c>
      <c r="C166" s="28" t="s">
        <v>245</v>
      </c>
      <c r="D166" s="31">
        <v>0</v>
      </c>
      <c r="F166" s="23" t="e">
        <f>ROUND((F107+F117+F124+F129+F137+F142+F147+F154+F158+F163+F164),2)</f>
        <v>#NAME?</v>
      </c>
      <c r="G166" s="23">
        <f>ROUND((G107+G117+G124+G129+G137+G142+G147+G154+G158+G163+G164),2)</f>
        <v>0</v>
      </c>
      <c r="H166" s="23">
        <f>ROUND((H107+H117+H124+H129+H137+H142+H147+H154+H158+H163+H164),2)</f>
        <v>0</v>
      </c>
      <c r="I166" s="23">
        <f>ROUND((I107+I117+I124+I129+I137+I142+I147+I154+I158+I163+I164),2)</f>
        <v>0</v>
      </c>
      <c r="J166" s="27">
        <f>ROUND((J107+J117+J124+J129+J137+J142+J147+J154+J158+J163+J164),8)</f>
        <v>0</v>
      </c>
      <c r="K166" s="27">
        <f>ROUND((K107+K117+K124+K129+K137+K142+K147+K154+K158+K163+K164),8)</f>
        <v>0</v>
      </c>
      <c r="L166" s="23">
        <f>ROUND((L107+L117+L124+L129+L137+L142+L147+L154+L158+L163+L164),2)</f>
        <v>0</v>
      </c>
    </row>
    <row r="167" spans="1:12" ht="10.5">
      <c r="A167" s="24">
        <v>71</v>
      </c>
      <c r="B167" s="7" t="s">
        <v>107</v>
      </c>
      <c r="C167" s="28" t="s">
        <v>245</v>
      </c>
      <c r="D167" s="31">
        <v>0</v>
      </c>
      <c r="F167" s="23">
        <f>ROUND((F113+F121+F126+F133+F139+F144+F151+F160+F165),2)</f>
        <v>0</v>
      </c>
      <c r="G167" s="23"/>
      <c r="H167" s="23"/>
      <c r="I167" s="23"/>
      <c r="J167" s="27"/>
      <c r="K167" s="27"/>
      <c r="L167" s="23"/>
    </row>
    <row r="168" spans="1:12" ht="10.5">
      <c r="A168" s="24">
        <v>72</v>
      </c>
      <c r="B168" s="7" t="s">
        <v>108</v>
      </c>
      <c r="C168" s="28" t="s">
        <v>245</v>
      </c>
      <c r="D168" s="31">
        <v>0</v>
      </c>
      <c r="F168" s="23">
        <f>ROUND((F114+F122+F127+F134+F140+F145+F152+F156+F161),2)</f>
        <v>29.67</v>
      </c>
      <c r="G168" s="23"/>
      <c r="H168" s="23"/>
      <c r="I168" s="23"/>
      <c r="J168" s="27"/>
      <c r="K168" s="27"/>
      <c r="L168" s="23"/>
    </row>
    <row r="169" spans="1:12" ht="10.5">
      <c r="A169" s="24">
        <v>73</v>
      </c>
      <c r="B169" s="7" t="s">
        <v>109</v>
      </c>
      <c r="C169" s="28" t="s">
        <v>245</v>
      </c>
      <c r="D169" s="31">
        <v>0</v>
      </c>
      <c r="F169" s="23">
        <f>ROUND((F115+F123+F128+F135+F141+F146+F153+F157+F162),2)</f>
        <v>17.98</v>
      </c>
      <c r="G169" s="23"/>
      <c r="H169" s="23"/>
      <c r="I169" s="23"/>
      <c r="J169" s="27"/>
      <c r="K169" s="27"/>
      <c r="L169" s="23"/>
    </row>
    <row r="170" spans="1:12" ht="10.5">
      <c r="A170" s="24">
        <v>74</v>
      </c>
      <c r="B170" s="7" t="s">
        <v>110</v>
      </c>
      <c r="C170" s="28" t="s">
        <v>246</v>
      </c>
      <c r="D170" s="31">
        <v>0</v>
      </c>
      <c r="F170" s="23">
        <f>ROUND(SUM('Базовые цены с учетом расхода'!X16:X17),2)</f>
        <v>0</v>
      </c>
      <c r="G170" s="23"/>
      <c r="H170" s="23"/>
      <c r="I170" s="23"/>
      <c r="J170" s="27"/>
      <c r="K170" s="27"/>
      <c r="L170" s="23">
        <f>ROUND(SUM('Базовые цены с учетом расхода'!X16:X17),2)</f>
        <v>0</v>
      </c>
    </row>
    <row r="171" spans="1:12" ht="10.5">
      <c r="A171" s="24">
        <v>75</v>
      </c>
      <c r="B171" s="7" t="s">
        <v>111</v>
      </c>
      <c r="C171" s="28" t="s">
        <v>246</v>
      </c>
      <c r="D171" s="31">
        <v>0</v>
      </c>
      <c r="F171" s="23">
        <f>ROUND(SUM('Базовые цены с учетом расхода'!C16:C17),2)</f>
        <v>24.32</v>
      </c>
      <c r="G171" s="23"/>
      <c r="H171" s="23"/>
      <c r="I171" s="23"/>
      <c r="J171" s="27"/>
      <c r="K171" s="27"/>
      <c r="L171" s="23"/>
    </row>
    <row r="172" spans="1:12" ht="10.5">
      <c r="A172" s="24">
        <v>76</v>
      </c>
      <c r="B172" s="7" t="s">
        <v>112</v>
      </c>
      <c r="C172" s="28" t="s">
        <v>246</v>
      </c>
      <c r="D172" s="31">
        <v>0</v>
      </c>
      <c r="F172" s="23">
        <f>ROUND(SUM('Базовые цены с учетом расхода'!E16:E17),2)</f>
        <v>5.65</v>
      </c>
      <c r="G172" s="23"/>
      <c r="H172" s="23"/>
      <c r="I172" s="23"/>
      <c r="J172" s="27"/>
      <c r="K172" s="27"/>
      <c r="L172" s="23"/>
    </row>
    <row r="173" spans="1:12" ht="10.5">
      <c r="A173" s="24">
        <v>77</v>
      </c>
      <c r="B173" s="7" t="s">
        <v>113</v>
      </c>
      <c r="C173" s="28" t="s">
        <v>247</v>
      </c>
      <c r="D173" s="31">
        <v>0</v>
      </c>
      <c r="F173" s="23">
        <f>ROUND((F171+F172),2)</f>
        <v>29.97</v>
      </c>
      <c r="G173" s="23"/>
      <c r="H173" s="23"/>
      <c r="I173" s="23"/>
      <c r="J173" s="27"/>
      <c r="K173" s="27"/>
      <c r="L173" s="23"/>
    </row>
    <row r="174" spans="1:12" ht="10.5">
      <c r="A174" s="24">
        <v>78</v>
      </c>
      <c r="B174" s="7" t="s">
        <v>114</v>
      </c>
      <c r="C174" s="28" t="s">
        <v>246</v>
      </c>
      <c r="D174" s="31">
        <v>0</v>
      </c>
      <c r="F174" s="23"/>
      <c r="G174" s="23"/>
      <c r="H174" s="23"/>
      <c r="I174" s="23"/>
      <c r="J174" s="27" t="e">
        <f>ROUND(SUM('Базовые цены с учетом расхода'!I16:I17),8)</f>
        <v>#NAME?</v>
      </c>
      <c r="K174" s="27"/>
      <c r="L174" s="23"/>
    </row>
    <row r="175" spans="1:12" ht="10.5">
      <c r="A175" s="24">
        <v>79</v>
      </c>
      <c r="B175" s="7" t="s">
        <v>115</v>
      </c>
      <c r="C175" s="28" t="s">
        <v>246</v>
      </c>
      <c r="D175" s="31">
        <v>0</v>
      </c>
      <c r="F175" s="23"/>
      <c r="G175" s="23"/>
      <c r="H175" s="23"/>
      <c r="I175" s="23"/>
      <c r="J175" s="27" t="e">
        <f>ROUND(SUM('Базовые цены с учетом расхода'!K16:K17),8)</f>
        <v>#NAME?</v>
      </c>
      <c r="K175" s="27"/>
      <c r="L175" s="23"/>
    </row>
    <row r="176" spans="1:12" ht="10.5">
      <c r="A176" s="24">
        <v>80</v>
      </c>
      <c r="B176" s="7" t="s">
        <v>116</v>
      </c>
      <c r="C176" s="28" t="s">
        <v>247</v>
      </c>
      <c r="D176" s="31">
        <v>0</v>
      </c>
      <c r="F176" s="23"/>
      <c r="G176" s="23"/>
      <c r="H176" s="23"/>
      <c r="I176" s="23"/>
      <c r="J176" s="27" t="e">
        <f>ROUND((J174+J175),8)</f>
        <v>#NAME?</v>
      </c>
      <c r="K176" s="27"/>
      <c r="L176" s="23"/>
    </row>
    <row r="177" spans="1:12" ht="10.5">
      <c r="A177" s="24">
        <v>81</v>
      </c>
      <c r="B177" s="7" t="s">
        <v>117</v>
      </c>
      <c r="C177" s="28" t="s">
        <v>248</v>
      </c>
      <c r="D177" s="31">
        <v>3.45</v>
      </c>
      <c r="F177" s="23" t="e">
        <f>ROUND((F166)*D177,2)</f>
        <v>#NAME?</v>
      </c>
      <c r="G177" s="23"/>
      <c r="H177" s="23"/>
      <c r="I177" s="23"/>
      <c r="J177" s="27"/>
      <c r="K177" s="27"/>
      <c r="L177" s="23"/>
    </row>
    <row r="178" spans="1:12" ht="10.5">
      <c r="A178" s="24">
        <v>82</v>
      </c>
      <c r="B178" s="7" t="s">
        <v>118</v>
      </c>
      <c r="C178" s="28" t="s">
        <v>249</v>
      </c>
      <c r="D178" s="31">
        <v>18</v>
      </c>
      <c r="F178" s="23" t="e">
        <f>ROUND((F177)*D178/100,2)</f>
        <v>#NAME?</v>
      </c>
      <c r="G178" s="23"/>
      <c r="H178" s="23"/>
      <c r="I178" s="23"/>
      <c r="J178" s="27"/>
      <c r="K178" s="27"/>
      <c r="L178" s="23"/>
    </row>
    <row r="179" spans="1:12" ht="10.5">
      <c r="A179" s="24">
        <v>83</v>
      </c>
      <c r="B179" s="7" t="s">
        <v>134</v>
      </c>
      <c r="C179" s="28" t="s">
        <v>247</v>
      </c>
      <c r="D179" s="31">
        <v>0</v>
      </c>
      <c r="F179" s="23" t="e">
        <f>ROUND((F177+F178),2)</f>
        <v>#NAME?</v>
      </c>
      <c r="G179" s="23"/>
      <c r="H179" s="23"/>
      <c r="I179" s="23"/>
      <c r="J179" s="27"/>
      <c r="K179" s="27"/>
      <c r="L179" s="23"/>
    </row>
    <row r="180" spans="1:13" s="25" customFormat="1" ht="10.5">
      <c r="A180" s="8"/>
      <c r="B180" s="25" t="s">
        <v>231</v>
      </c>
      <c r="C180" s="25" t="s">
        <v>232</v>
      </c>
      <c r="D180" s="32" t="s">
        <v>233</v>
      </c>
      <c r="E180" s="25" t="s">
        <v>234</v>
      </c>
      <c r="F180" s="25" t="s">
        <v>235</v>
      </c>
      <c r="G180" s="25" t="s">
        <v>236</v>
      </c>
      <c r="H180" s="25" t="s">
        <v>237</v>
      </c>
      <c r="I180" s="25" t="s">
        <v>238</v>
      </c>
      <c r="J180" s="25" t="s">
        <v>239</v>
      </c>
      <c r="K180" s="25" t="s">
        <v>240</v>
      </c>
      <c r="L180" s="25" t="s">
        <v>241</v>
      </c>
      <c r="M180" s="25" t="s">
        <v>242</v>
      </c>
    </row>
    <row r="181" spans="1:14" ht="10.5">
      <c r="A181" s="24">
        <v>1</v>
      </c>
      <c r="B181" s="7" t="s">
        <v>130</v>
      </c>
      <c r="C181" s="28" t="s">
        <v>243</v>
      </c>
      <c r="D181" s="31">
        <v>0</v>
      </c>
      <c r="E181" s="31"/>
      <c r="F181" s="23">
        <f>ROUND(SUM('Базовые цены с учетом расхода'!B6:B17),2)</f>
        <v>2176.94</v>
      </c>
      <c r="G181" s="23">
        <f>ROUND(SUM('Базовые цены с учетом расхода'!C6:C17),2)</f>
        <v>356.88</v>
      </c>
      <c r="H181" s="23">
        <f>ROUND(SUM('Базовые цены с учетом расхода'!D6:D17),2)</f>
        <v>42.6</v>
      </c>
      <c r="I181" s="23">
        <f>ROUND(SUM('Базовые цены с учетом расхода'!E6:E17),2)</f>
        <v>6.3</v>
      </c>
      <c r="J181" s="27" t="e">
        <f>ROUND(SUM('Базовые цены с учетом расхода'!I6:I17),8)</f>
        <v>#NAME?</v>
      </c>
      <c r="K181" s="27" t="e">
        <f>ROUND(SUM('Базовые цены с учетом расхода'!K6:K17),8)</f>
        <v>#NAME?</v>
      </c>
      <c r="L181" s="23">
        <f>ROUND(SUM('Базовые цены с учетом расхода'!F6:F17),2)</f>
        <v>1777.46</v>
      </c>
      <c r="N181" s="28" t="s">
        <v>226</v>
      </c>
    </row>
    <row r="182" spans="1:14" ht="10.5">
      <c r="A182" s="24">
        <v>2</v>
      </c>
      <c r="B182" s="7" t="s">
        <v>64</v>
      </c>
      <c r="C182" s="28" t="s">
        <v>244</v>
      </c>
      <c r="D182" s="31">
        <v>0</v>
      </c>
      <c r="F182" s="23">
        <f>ROUND(SUMIF(Определители!I6:I17,"= ",'Базовые цены с учетом расхода'!B6:B17),2)</f>
        <v>0</v>
      </c>
      <c r="G182" s="23">
        <f>ROUND(SUMIF(Определители!I6:I17,"= ",'Базовые цены с учетом расхода'!C6:C17),2)</f>
        <v>0</v>
      </c>
      <c r="H182" s="23">
        <f>ROUND(SUMIF(Определители!I6:I17,"= ",'Базовые цены с учетом расхода'!D6:D17),2)</f>
        <v>0</v>
      </c>
      <c r="I182" s="23">
        <f>ROUND(SUMIF(Определители!I6:I17,"= ",'Базовые цены с учетом расхода'!E6:E17),2)</f>
        <v>0</v>
      </c>
      <c r="J182" s="27">
        <f>ROUND(SUMIF(Определители!I6:I17,"= ",'Базовые цены с учетом расхода'!I6:I17),8)</f>
        <v>0</v>
      </c>
      <c r="K182" s="27">
        <f>ROUND(SUMIF(Определители!I6:I17,"= ",'Базовые цены с учетом расхода'!K6:K17),8)</f>
        <v>0</v>
      </c>
      <c r="L182" s="23">
        <f>ROUND(SUMIF(Определители!I6:I17,"= ",'Базовые цены с учетом расхода'!F6:F17),2)</f>
        <v>0</v>
      </c>
      <c r="N182" s="28" t="s">
        <v>228</v>
      </c>
    </row>
    <row r="183" spans="1:14" ht="10.5">
      <c r="A183" s="24">
        <v>3</v>
      </c>
      <c r="B183" s="7" t="s">
        <v>65</v>
      </c>
      <c r="C183" s="28" t="s">
        <v>244</v>
      </c>
      <c r="D183" s="31">
        <v>0</v>
      </c>
      <c r="F183" s="23" t="e">
        <f>ROUND(СУММПРОИЗВЕСЛИ(0.01,Определители!I6:I17," ",'Базовые цены с учетом расхода'!B6:B17,Начисления!X6:X17,0),2)</f>
        <v>#NAME?</v>
      </c>
      <c r="G183" s="23"/>
      <c r="H183" s="23"/>
      <c r="I183" s="23"/>
      <c r="J183" s="27"/>
      <c r="K183" s="27"/>
      <c r="L183" s="23"/>
      <c r="N183" s="28" t="s">
        <v>250</v>
      </c>
    </row>
    <row r="184" spans="1:14" ht="10.5">
      <c r="A184" s="24">
        <v>4</v>
      </c>
      <c r="B184" s="7" t="s">
        <v>66</v>
      </c>
      <c r="C184" s="28" t="s">
        <v>244</v>
      </c>
      <c r="D184" s="31">
        <v>0</v>
      </c>
      <c r="F184" s="23" t="e">
        <f>ROUND(СУММПРОИЗВЕСЛИ(0.01,Определители!I6:I17," ",'Базовые цены с учетом расхода'!B6:B17,Начисления!Y6:Y17,0),2)</f>
        <v>#NAME?</v>
      </c>
      <c r="G184" s="23"/>
      <c r="H184" s="23"/>
      <c r="I184" s="23"/>
      <c r="J184" s="27"/>
      <c r="K184" s="27"/>
      <c r="L184" s="23"/>
      <c r="N184" s="28" t="s">
        <v>229</v>
      </c>
    </row>
    <row r="185" spans="1:14" ht="10.5">
      <c r="A185" s="24">
        <v>5</v>
      </c>
      <c r="B185" s="7" t="s">
        <v>67</v>
      </c>
      <c r="C185" s="28" t="s">
        <v>244</v>
      </c>
      <c r="D185" s="31">
        <v>0</v>
      </c>
      <c r="F185" s="23" t="e">
        <f>ROUND(ТРАНСПРАСХОД(Определители!B6:B17,Определители!H6:H17,Определители!I6:I17,'Базовые цены с учетом расхода'!B6:B17,Начисления!Z6:Z17,Начисления!AA6:AA17),2)</f>
        <v>#NAME?</v>
      </c>
      <c r="G185" s="23"/>
      <c r="H185" s="23"/>
      <c r="I185" s="23"/>
      <c r="J185" s="27"/>
      <c r="K185" s="27"/>
      <c r="L185" s="23"/>
      <c r="N185" s="28" t="s">
        <v>251</v>
      </c>
    </row>
    <row r="186" spans="1:14" ht="10.5">
      <c r="A186" s="24">
        <v>6</v>
      </c>
      <c r="B186" s="7" t="s">
        <v>68</v>
      </c>
      <c r="C186" s="28" t="s">
        <v>244</v>
      </c>
      <c r="D186" s="31">
        <v>0</v>
      </c>
      <c r="F186" s="23" t="e">
        <f>ROUND(СУММПРОИЗВЕСЛИ(0.01,Определители!I6:I17," ",'Базовые цены с учетом расхода'!B6:B17,Начисления!AC6:AC17,0),2)</f>
        <v>#NAME?</v>
      </c>
      <c r="G186" s="23"/>
      <c r="H186" s="23"/>
      <c r="I186" s="23"/>
      <c r="J186" s="27"/>
      <c r="K186" s="27"/>
      <c r="L186" s="23"/>
      <c r="N186" s="28" t="s">
        <v>252</v>
      </c>
    </row>
    <row r="187" spans="1:14" ht="10.5">
      <c r="A187" s="24">
        <v>7</v>
      </c>
      <c r="B187" s="7" t="s">
        <v>69</v>
      </c>
      <c r="C187" s="28" t="s">
        <v>244</v>
      </c>
      <c r="D187" s="31">
        <v>0</v>
      </c>
      <c r="F187" s="23" t="e">
        <f>ROUND(СУММПРОИЗВЕСЛИ(0.01,Определители!I6:I17," ",'Базовые цены с учетом расхода'!B6:B17,Начисления!AF6:AF17,0),2)</f>
        <v>#NAME?</v>
      </c>
      <c r="G187" s="23"/>
      <c r="H187" s="23"/>
      <c r="I187" s="23"/>
      <c r="J187" s="27"/>
      <c r="K187" s="27"/>
      <c r="L187" s="23"/>
      <c r="N187" s="28" t="s">
        <v>253</v>
      </c>
    </row>
    <row r="188" spans="1:14" ht="10.5">
      <c r="A188" s="24">
        <v>8</v>
      </c>
      <c r="B188" s="7" t="s">
        <v>70</v>
      </c>
      <c r="C188" s="28" t="s">
        <v>244</v>
      </c>
      <c r="D188" s="31">
        <v>0</v>
      </c>
      <c r="F188" s="23" t="e">
        <f>ROUND(ЗАГОТСКЛАДРАСХОД(Определители!B6:B17,Определители!H6:H17,Определители!I6:I17,'Базовые цены с учетом расхода'!B6:B17,Начисления!X6:X17,Начисления!Y6:Y17,Начисления!Z6:Z17,Начисления!AA6:AA17,Начисления!AB6:AB17,Начисления!AC6:AC17,Начисления!AF6:AF17),2)</f>
        <v>#NAME?</v>
      </c>
      <c r="G188" s="23"/>
      <c r="H188" s="23"/>
      <c r="I188" s="23"/>
      <c r="J188" s="27"/>
      <c r="K188" s="27"/>
      <c r="L188" s="23"/>
      <c r="N188" s="28" t="s">
        <v>254</v>
      </c>
    </row>
    <row r="189" spans="1:14" ht="10.5">
      <c r="A189" s="24">
        <v>9</v>
      </c>
      <c r="B189" s="7" t="s">
        <v>71</v>
      </c>
      <c r="C189" s="28" t="s">
        <v>244</v>
      </c>
      <c r="D189" s="31">
        <v>0</v>
      </c>
      <c r="F189" s="23" t="e">
        <f>ROUND(СУММПРОИЗВЕСЛИ(1,Определители!I6:I17," ",'Базовые цены с учетом расхода'!M6:M17,Начисления!I6:I17,0),2)</f>
        <v>#NAME?</v>
      </c>
      <c r="G189" s="23"/>
      <c r="H189" s="23"/>
      <c r="I189" s="23"/>
      <c r="J189" s="27"/>
      <c r="K189" s="27"/>
      <c r="L189" s="23"/>
      <c r="N189" s="28" t="s">
        <v>255</v>
      </c>
    </row>
    <row r="190" spans="1:14" ht="10.5">
      <c r="A190" s="24">
        <v>10</v>
      </c>
      <c r="B190" s="7" t="s">
        <v>72</v>
      </c>
      <c r="C190" s="28" t="s">
        <v>245</v>
      </c>
      <c r="D190" s="31">
        <v>0</v>
      </c>
      <c r="F190" s="23" t="e">
        <f>ROUND((F189+F200+F220),2)</f>
        <v>#NAME?</v>
      </c>
      <c r="G190" s="23"/>
      <c r="H190" s="23"/>
      <c r="I190" s="23"/>
      <c r="J190" s="27"/>
      <c r="K190" s="27"/>
      <c r="L190" s="23"/>
      <c r="N190" s="28" t="s">
        <v>256</v>
      </c>
    </row>
    <row r="191" spans="1:14" ht="10.5">
      <c r="A191" s="24">
        <v>11</v>
      </c>
      <c r="B191" s="7" t="s">
        <v>73</v>
      </c>
      <c r="C191" s="28" t="s">
        <v>245</v>
      </c>
      <c r="D191" s="31">
        <v>0</v>
      </c>
      <c r="F191" s="23" t="e">
        <f>ROUND((F182+F183+F184+F185+F186+F187+F188+F190),2)</f>
        <v>#NAME?</v>
      </c>
      <c r="G191" s="23"/>
      <c r="H191" s="23"/>
      <c r="I191" s="23"/>
      <c r="J191" s="27"/>
      <c r="K191" s="27"/>
      <c r="L191" s="23"/>
      <c r="N191" s="28" t="s">
        <v>257</v>
      </c>
    </row>
    <row r="192" spans="1:14" ht="10.5">
      <c r="A192" s="24">
        <v>12</v>
      </c>
      <c r="B192" s="7" t="s">
        <v>74</v>
      </c>
      <c r="C192" s="28" t="s">
        <v>244</v>
      </c>
      <c r="D192" s="31">
        <v>0</v>
      </c>
      <c r="F192" s="23">
        <f>ROUND(SUMIF(Определители!I6:I17,"=1",'Базовые цены с учетом расхода'!B6:B17),2)</f>
        <v>0</v>
      </c>
      <c r="G192" s="23">
        <f>ROUND(SUMIF(Определители!I6:I17,"=1",'Базовые цены с учетом расхода'!C6:C17),2)</f>
        <v>0</v>
      </c>
      <c r="H192" s="23">
        <f>ROUND(SUMIF(Определители!I6:I17,"=1",'Базовые цены с учетом расхода'!D6:D17),2)</f>
        <v>0</v>
      </c>
      <c r="I192" s="23">
        <f>ROUND(SUMIF(Определители!I6:I17,"=1",'Базовые цены с учетом расхода'!E6:E17),2)</f>
        <v>0</v>
      </c>
      <c r="J192" s="27">
        <f>ROUND(SUMIF(Определители!I6:I17,"=1",'Базовые цены с учетом расхода'!I6:I17),8)</f>
        <v>0</v>
      </c>
      <c r="K192" s="27">
        <f>ROUND(SUMIF(Определители!I6:I17,"=1",'Базовые цены с учетом расхода'!K6:K17),8)</f>
        <v>0</v>
      </c>
      <c r="L192" s="23">
        <f>ROUND(SUMIF(Определители!I6:I17,"=1",'Базовые цены с учетом расхода'!F6:F17),2)</f>
        <v>0</v>
      </c>
      <c r="N192" s="28" t="s">
        <v>258</v>
      </c>
    </row>
    <row r="193" spans="1:14" ht="10.5">
      <c r="A193" s="24">
        <v>13</v>
      </c>
      <c r="B193" s="7" t="s">
        <v>75</v>
      </c>
      <c r="C193" s="28" t="s">
        <v>244</v>
      </c>
      <c r="D193" s="31">
        <v>0</v>
      </c>
      <c r="F193" s="23"/>
      <c r="G193" s="23"/>
      <c r="H193" s="23"/>
      <c r="I193" s="23"/>
      <c r="J193" s="27"/>
      <c r="K193" s="27"/>
      <c r="L193" s="23"/>
      <c r="N193" s="28" t="s">
        <v>259</v>
      </c>
    </row>
    <row r="194" spans="1:14" ht="10.5">
      <c r="A194" s="24">
        <v>14</v>
      </c>
      <c r="B194" s="7" t="s">
        <v>76</v>
      </c>
      <c r="C194" s="28" t="s">
        <v>244</v>
      </c>
      <c r="D194" s="31">
        <v>0</v>
      </c>
      <c r="F194" s="23"/>
      <c r="G194" s="23">
        <f>ROUND(SUMIF(Определители!I6:I17,"=1",'Базовые цены с учетом расхода'!U6:U17),2)</f>
        <v>0</v>
      </c>
      <c r="H194" s="23"/>
      <c r="I194" s="23"/>
      <c r="J194" s="27"/>
      <c r="K194" s="27"/>
      <c r="L194" s="23"/>
      <c r="N194" s="28" t="s">
        <v>260</v>
      </c>
    </row>
    <row r="195" spans="1:14" ht="10.5">
      <c r="A195" s="24">
        <v>15</v>
      </c>
      <c r="B195" s="7" t="s">
        <v>77</v>
      </c>
      <c r="C195" s="28" t="s">
        <v>244</v>
      </c>
      <c r="D195" s="31">
        <v>0</v>
      </c>
      <c r="F195" s="23">
        <f>ROUND(SUMIF(Определители!I6:I17,"=1",'Базовые цены с учетом расхода'!V6:V17),2)</f>
        <v>0</v>
      </c>
      <c r="G195" s="23"/>
      <c r="H195" s="23"/>
      <c r="I195" s="23"/>
      <c r="J195" s="27"/>
      <c r="K195" s="27"/>
      <c r="L195" s="23"/>
      <c r="N195" s="28" t="s">
        <v>261</v>
      </c>
    </row>
    <row r="196" spans="1:14" ht="10.5">
      <c r="A196" s="24">
        <v>16</v>
      </c>
      <c r="B196" s="7" t="s">
        <v>78</v>
      </c>
      <c r="C196" s="28" t="s">
        <v>244</v>
      </c>
      <c r="D196" s="31">
        <v>0</v>
      </c>
      <c r="F196" s="23" t="e">
        <f>ROUND(СУММЕСЛИ2(Определители!I6:I17,"1",Определители!G6:G17,"1",'Базовые цены с учетом расхода'!B6:B17),2)</f>
        <v>#NAME?</v>
      </c>
      <c r="G196" s="23"/>
      <c r="H196" s="23"/>
      <c r="I196" s="23"/>
      <c r="J196" s="27"/>
      <c r="K196" s="27"/>
      <c r="L196" s="23"/>
      <c r="N196" s="28" t="s">
        <v>262</v>
      </c>
    </row>
    <row r="197" spans="1:14" ht="10.5">
      <c r="A197" s="24">
        <v>17</v>
      </c>
      <c r="B197" s="7" t="s">
        <v>79</v>
      </c>
      <c r="C197" s="28" t="s">
        <v>244</v>
      </c>
      <c r="D197" s="31">
        <v>0</v>
      </c>
      <c r="F197" s="23">
        <f>ROUND(SUMIF(Определители!I6:I17,"=1",'Базовые цены с учетом расхода'!H6:H17),2)</f>
        <v>0</v>
      </c>
      <c r="G197" s="23"/>
      <c r="H197" s="23"/>
      <c r="I197" s="23"/>
      <c r="J197" s="27"/>
      <c r="K197" s="27"/>
      <c r="L197" s="23"/>
      <c r="N197" s="28" t="s">
        <v>263</v>
      </c>
    </row>
    <row r="198" spans="1:14" ht="10.5">
      <c r="A198" s="24">
        <v>18</v>
      </c>
      <c r="B198" s="7" t="s">
        <v>80</v>
      </c>
      <c r="C198" s="28" t="s">
        <v>244</v>
      </c>
      <c r="D198" s="31">
        <v>0</v>
      </c>
      <c r="F198" s="23">
        <f>ROUND(SUMIF(Определители!I6:I17,"=1",'Базовые цены с учетом расхода'!N6:N17),2)</f>
        <v>0</v>
      </c>
      <c r="G198" s="23"/>
      <c r="H198" s="23"/>
      <c r="I198" s="23"/>
      <c r="J198" s="27"/>
      <c r="K198" s="27"/>
      <c r="L198" s="23"/>
      <c r="N198" s="28" t="s">
        <v>264</v>
      </c>
    </row>
    <row r="199" spans="1:14" ht="10.5">
      <c r="A199" s="24">
        <v>19</v>
      </c>
      <c r="B199" s="7" t="s">
        <v>81</v>
      </c>
      <c r="C199" s="28" t="s">
        <v>244</v>
      </c>
      <c r="D199" s="31">
        <v>0</v>
      </c>
      <c r="F199" s="23">
        <f>ROUND(SUMIF(Определители!I6:I17,"=1",'Базовые цены с учетом расхода'!O6:O17),2)</f>
        <v>0</v>
      </c>
      <c r="G199" s="23"/>
      <c r="H199" s="23"/>
      <c r="I199" s="23"/>
      <c r="J199" s="27"/>
      <c r="K199" s="27"/>
      <c r="L199" s="23"/>
      <c r="N199" s="28" t="s">
        <v>265</v>
      </c>
    </row>
    <row r="200" spans="1:14" ht="10.5">
      <c r="A200" s="24">
        <v>20</v>
      </c>
      <c r="B200" s="7" t="s">
        <v>72</v>
      </c>
      <c r="C200" s="28" t="s">
        <v>244</v>
      </c>
      <c r="D200" s="31">
        <v>0</v>
      </c>
      <c r="F200" s="23" t="e">
        <f>ROUND(СУММПРОИЗВЕСЛИ(1,Определители!I6:I17," ",'Базовые цены с учетом расхода'!M6:M17,Начисления!I6:I17,0),2)</f>
        <v>#NAME?</v>
      </c>
      <c r="G200" s="23"/>
      <c r="H200" s="23"/>
      <c r="I200" s="23"/>
      <c r="J200" s="27"/>
      <c r="K200" s="27"/>
      <c r="L200" s="23"/>
      <c r="N200" s="28" t="s">
        <v>266</v>
      </c>
    </row>
    <row r="201" spans="1:14" ht="10.5">
      <c r="A201" s="24">
        <v>21</v>
      </c>
      <c r="B201" s="7" t="s">
        <v>82</v>
      </c>
      <c r="C201" s="28" t="s">
        <v>245</v>
      </c>
      <c r="D201" s="31">
        <v>0</v>
      </c>
      <c r="F201" s="23">
        <f>ROUND((F192+F198+F199),2)</f>
        <v>0</v>
      </c>
      <c r="G201" s="23"/>
      <c r="H201" s="23"/>
      <c r="I201" s="23"/>
      <c r="J201" s="27"/>
      <c r="K201" s="27"/>
      <c r="L201" s="23"/>
      <c r="N201" s="28" t="s">
        <v>267</v>
      </c>
    </row>
    <row r="202" spans="1:14" ht="10.5">
      <c r="A202" s="24">
        <v>22</v>
      </c>
      <c r="B202" s="7" t="s">
        <v>83</v>
      </c>
      <c r="C202" s="28" t="s">
        <v>244</v>
      </c>
      <c r="D202" s="31">
        <v>0</v>
      </c>
      <c r="F202" s="23">
        <f>ROUND(SUMIF(Определители!I6:I17,"=2",'Базовые цены с учетом расхода'!B6:B17),2)</f>
        <v>68.68</v>
      </c>
      <c r="G202" s="23">
        <f>ROUND(SUMIF(Определители!I6:I17,"=2",'Базовые цены с учетом расхода'!C6:C17),2)</f>
        <v>24.32</v>
      </c>
      <c r="H202" s="23">
        <f>ROUND(SUMIF(Определители!I6:I17,"=2",'Базовые цены с учетом расхода'!D6:D17),2)</f>
        <v>35.23</v>
      </c>
      <c r="I202" s="23">
        <f>ROUND(SUMIF(Определители!I6:I17,"=2",'Базовые цены с учетом расхода'!E6:E17),2)</f>
        <v>5.65</v>
      </c>
      <c r="J202" s="27" t="e">
        <f>ROUND(SUMIF(Определители!I6:I17,"=2",'Базовые цены с учетом расхода'!I6:I17),8)</f>
        <v>#NAME?</v>
      </c>
      <c r="K202" s="27" t="e">
        <f>ROUND(SUMIF(Определители!I6:I17,"=2",'Базовые цены с учетом расхода'!K6:K17),8)</f>
        <v>#NAME?</v>
      </c>
      <c r="L202" s="23">
        <f>ROUND(SUMIF(Определители!I6:I17,"=2",'Базовые цены с учетом расхода'!F6:F17),2)</f>
        <v>9.13</v>
      </c>
      <c r="N202" s="28" t="s">
        <v>268</v>
      </c>
    </row>
    <row r="203" spans="1:14" ht="10.5">
      <c r="A203" s="24">
        <v>23</v>
      </c>
      <c r="B203" s="7" t="s">
        <v>75</v>
      </c>
      <c r="C203" s="28" t="s">
        <v>244</v>
      </c>
      <c r="D203" s="31">
        <v>0</v>
      </c>
      <c r="F203" s="23"/>
      <c r="G203" s="23"/>
      <c r="H203" s="23"/>
      <c r="I203" s="23"/>
      <c r="J203" s="27"/>
      <c r="K203" s="27"/>
      <c r="L203" s="23"/>
      <c r="N203" s="28" t="s">
        <v>269</v>
      </c>
    </row>
    <row r="204" spans="1:14" ht="10.5">
      <c r="A204" s="24">
        <v>24</v>
      </c>
      <c r="B204" s="7" t="s">
        <v>84</v>
      </c>
      <c r="C204" s="28" t="s">
        <v>244</v>
      </c>
      <c r="D204" s="31">
        <v>0</v>
      </c>
      <c r="F204" s="23" t="e">
        <f>ROUND(СУММЕСЛИ2(Определители!I6:I17,"2",Определители!G6:G17,"1",'Базовые цены с учетом расхода'!B6:B17),2)</f>
        <v>#NAME?</v>
      </c>
      <c r="G204" s="23"/>
      <c r="H204" s="23"/>
      <c r="I204" s="23"/>
      <c r="J204" s="27"/>
      <c r="K204" s="27"/>
      <c r="L204" s="23"/>
      <c r="N204" s="28" t="s">
        <v>270</v>
      </c>
    </row>
    <row r="205" spans="1:14" ht="10.5">
      <c r="A205" s="24">
        <v>25</v>
      </c>
      <c r="B205" s="7" t="s">
        <v>79</v>
      </c>
      <c r="C205" s="28" t="s">
        <v>244</v>
      </c>
      <c r="D205" s="31">
        <v>0</v>
      </c>
      <c r="F205" s="23">
        <f>ROUND(SUMIF(Определители!I6:I17,"=2",'Базовые цены с учетом расхода'!H6:H17),2)</f>
        <v>0</v>
      </c>
      <c r="G205" s="23"/>
      <c r="H205" s="23"/>
      <c r="I205" s="23"/>
      <c r="J205" s="27"/>
      <c r="K205" s="27"/>
      <c r="L205" s="23"/>
      <c r="N205" s="28" t="s">
        <v>271</v>
      </c>
    </row>
    <row r="206" spans="1:14" ht="10.5">
      <c r="A206" s="24">
        <v>26</v>
      </c>
      <c r="B206" s="7" t="s">
        <v>80</v>
      </c>
      <c r="C206" s="28" t="s">
        <v>244</v>
      </c>
      <c r="D206" s="31">
        <v>0</v>
      </c>
      <c r="F206" s="23">
        <f>ROUND(SUMIF(Определители!I6:I17,"=2",'Базовые цены с учетом расхода'!N6:N17),2)</f>
        <v>29.67</v>
      </c>
      <c r="G206" s="23"/>
      <c r="H206" s="23"/>
      <c r="I206" s="23"/>
      <c r="J206" s="27"/>
      <c r="K206" s="27"/>
      <c r="L206" s="23"/>
      <c r="N206" s="28" t="s">
        <v>272</v>
      </c>
    </row>
    <row r="207" spans="1:14" ht="10.5">
      <c r="A207" s="24">
        <v>27</v>
      </c>
      <c r="B207" s="7" t="s">
        <v>81</v>
      </c>
      <c r="C207" s="28" t="s">
        <v>244</v>
      </c>
      <c r="D207" s="31">
        <v>0</v>
      </c>
      <c r="F207" s="23">
        <f>ROUND(SUMIF(Определители!I6:I17,"=2",'Базовые цены с учетом расхода'!O6:O17),2)</f>
        <v>17.98</v>
      </c>
      <c r="G207" s="23"/>
      <c r="H207" s="23"/>
      <c r="I207" s="23"/>
      <c r="J207" s="27"/>
      <c r="K207" s="27"/>
      <c r="L207" s="23"/>
      <c r="N207" s="28" t="s">
        <v>273</v>
      </c>
    </row>
    <row r="208" spans="1:14" ht="10.5">
      <c r="A208" s="24">
        <v>28</v>
      </c>
      <c r="B208" s="7" t="s">
        <v>85</v>
      </c>
      <c r="C208" s="28" t="s">
        <v>245</v>
      </c>
      <c r="D208" s="31">
        <v>0</v>
      </c>
      <c r="F208" s="23">
        <f>ROUND((F202+F206+F207),2)</f>
        <v>116.33</v>
      </c>
      <c r="G208" s="23"/>
      <c r="H208" s="23"/>
      <c r="I208" s="23"/>
      <c r="J208" s="27"/>
      <c r="K208" s="27"/>
      <c r="L208" s="23"/>
      <c r="N208" s="28" t="s">
        <v>274</v>
      </c>
    </row>
    <row r="209" spans="1:14" ht="10.5">
      <c r="A209" s="24">
        <v>29</v>
      </c>
      <c r="B209" s="7" t="s">
        <v>86</v>
      </c>
      <c r="C209" s="28" t="s">
        <v>244</v>
      </c>
      <c r="D209" s="31">
        <v>0</v>
      </c>
      <c r="F209" s="23">
        <f>ROUND(SUMIF(Определители!I6:I17,"=3",'Базовые цены с учетом расхода'!B6:B17),2)</f>
        <v>0</v>
      </c>
      <c r="G209" s="23">
        <f>ROUND(SUMIF(Определители!I6:I17,"=3",'Базовые цены с учетом расхода'!C6:C17),2)</f>
        <v>0</v>
      </c>
      <c r="H209" s="23">
        <f>ROUND(SUMIF(Определители!I6:I17,"=3",'Базовые цены с учетом расхода'!D6:D17),2)</f>
        <v>0</v>
      </c>
      <c r="I209" s="23">
        <f>ROUND(SUMIF(Определители!I6:I17,"=3",'Базовые цены с учетом расхода'!E6:E17),2)</f>
        <v>0</v>
      </c>
      <c r="J209" s="27">
        <f>ROUND(SUMIF(Определители!I6:I17,"=3",'Базовые цены с учетом расхода'!I6:I17),8)</f>
        <v>0</v>
      </c>
      <c r="K209" s="27">
        <f>ROUND(SUMIF(Определители!I6:I17,"=3",'Базовые цены с учетом расхода'!K6:K17),8)</f>
        <v>0</v>
      </c>
      <c r="L209" s="23">
        <f>ROUND(SUMIF(Определители!I6:I17,"=3",'Базовые цены с учетом расхода'!F6:F17),2)</f>
        <v>0</v>
      </c>
      <c r="N209" s="28" t="s">
        <v>275</v>
      </c>
    </row>
    <row r="210" spans="1:14" ht="10.5">
      <c r="A210" s="24">
        <v>30</v>
      </c>
      <c r="B210" s="7" t="s">
        <v>79</v>
      </c>
      <c r="C210" s="28" t="s">
        <v>244</v>
      </c>
      <c r="D210" s="31">
        <v>0</v>
      </c>
      <c r="F210" s="23">
        <f>ROUND(SUMIF(Определители!I6:I17,"=3",'Базовые цены с учетом расхода'!H6:H17),2)</f>
        <v>0</v>
      </c>
      <c r="G210" s="23"/>
      <c r="H210" s="23"/>
      <c r="I210" s="23"/>
      <c r="J210" s="27"/>
      <c r="K210" s="27"/>
      <c r="L210" s="23"/>
      <c r="N210" s="28" t="s">
        <v>276</v>
      </c>
    </row>
    <row r="211" spans="1:14" ht="10.5">
      <c r="A211" s="24">
        <v>31</v>
      </c>
      <c r="B211" s="7" t="s">
        <v>80</v>
      </c>
      <c r="C211" s="28" t="s">
        <v>244</v>
      </c>
      <c r="D211" s="31">
        <v>0</v>
      </c>
      <c r="F211" s="23">
        <f>ROUND(SUMIF(Определители!I6:I17,"=3",'Базовые цены с учетом расхода'!N6:N17),2)</f>
        <v>0</v>
      </c>
      <c r="G211" s="23"/>
      <c r="H211" s="23"/>
      <c r="I211" s="23"/>
      <c r="J211" s="27"/>
      <c r="K211" s="27"/>
      <c r="L211" s="23"/>
      <c r="N211" s="28" t="s">
        <v>277</v>
      </c>
    </row>
    <row r="212" spans="1:14" ht="10.5">
      <c r="A212" s="24">
        <v>32</v>
      </c>
      <c r="B212" s="7" t="s">
        <v>81</v>
      </c>
      <c r="C212" s="28" t="s">
        <v>244</v>
      </c>
      <c r="D212" s="31">
        <v>0</v>
      </c>
      <c r="F212" s="23">
        <f>ROUND(SUMIF(Определители!I6:I17,"=3",'Базовые цены с учетом расхода'!O6:O17),2)</f>
        <v>0</v>
      </c>
      <c r="G212" s="23"/>
      <c r="H212" s="23"/>
      <c r="I212" s="23"/>
      <c r="J212" s="27"/>
      <c r="K212" s="27"/>
      <c r="L212" s="23"/>
      <c r="N212" s="28" t="s">
        <v>278</v>
      </c>
    </row>
    <row r="213" spans="1:14" ht="10.5">
      <c r="A213" s="24">
        <v>33</v>
      </c>
      <c r="B213" s="7" t="s">
        <v>87</v>
      </c>
      <c r="C213" s="28" t="s">
        <v>245</v>
      </c>
      <c r="D213" s="31">
        <v>0</v>
      </c>
      <c r="F213" s="23">
        <f>ROUND((F209+F211+F212),2)</f>
        <v>0</v>
      </c>
      <c r="G213" s="23"/>
      <c r="H213" s="23"/>
      <c r="I213" s="23"/>
      <c r="J213" s="27"/>
      <c r="K213" s="27"/>
      <c r="L213" s="23"/>
      <c r="N213" s="28" t="s">
        <v>279</v>
      </c>
    </row>
    <row r="214" spans="1:14" ht="10.5">
      <c r="A214" s="24">
        <v>34</v>
      </c>
      <c r="B214" s="7" t="s">
        <v>88</v>
      </c>
      <c r="C214" s="28" t="s">
        <v>244</v>
      </c>
      <c r="D214" s="31">
        <v>0</v>
      </c>
      <c r="F214" s="23">
        <f>ROUND(SUMIF(Определители!I6:I17,"=4",'Базовые цены с учетом расхода'!B6:B17),2)</f>
        <v>2108.26</v>
      </c>
      <c r="G214" s="23">
        <f>ROUND(SUMIF(Определители!I6:I17,"=4",'Базовые цены с учетом расхода'!C6:C17),2)</f>
        <v>332.56</v>
      </c>
      <c r="H214" s="23">
        <f>ROUND(SUMIF(Определители!I6:I17,"=4",'Базовые цены с учетом расхода'!D6:D17),2)</f>
        <v>7.37</v>
      </c>
      <c r="I214" s="23">
        <f>ROUND(SUMIF(Определители!I6:I17,"=4",'Базовые цены с учетом расхода'!E6:E17),2)</f>
        <v>0.65</v>
      </c>
      <c r="J214" s="27" t="e">
        <f>ROUND(SUMIF(Определители!I6:I17,"=4",'Базовые цены с учетом расхода'!I6:I17),8)</f>
        <v>#NAME?</v>
      </c>
      <c r="K214" s="27" t="e">
        <f>ROUND(SUMIF(Определители!I6:I17,"=4",'Базовые цены с учетом расхода'!K6:K17),8)</f>
        <v>#NAME?</v>
      </c>
      <c r="L214" s="23">
        <f>ROUND(SUMIF(Определители!I6:I17,"=4",'Базовые цены с учетом расхода'!F6:F17),2)</f>
        <v>1768.33</v>
      </c>
      <c r="N214" s="28" t="s">
        <v>280</v>
      </c>
    </row>
    <row r="215" spans="1:14" ht="10.5">
      <c r="A215" s="24">
        <v>35</v>
      </c>
      <c r="B215" s="7" t="s">
        <v>75</v>
      </c>
      <c r="C215" s="28" t="s">
        <v>244</v>
      </c>
      <c r="D215" s="31">
        <v>0</v>
      </c>
      <c r="F215" s="23"/>
      <c r="G215" s="23"/>
      <c r="H215" s="23"/>
      <c r="I215" s="23"/>
      <c r="J215" s="27"/>
      <c r="K215" s="27"/>
      <c r="L215" s="23"/>
      <c r="N215" s="28" t="s">
        <v>281</v>
      </c>
    </row>
    <row r="216" spans="1:14" ht="10.5">
      <c r="A216" s="24">
        <v>36</v>
      </c>
      <c r="B216" s="7" t="s">
        <v>89</v>
      </c>
      <c r="C216" s="28" t="s">
        <v>244</v>
      </c>
      <c r="D216" s="31">
        <v>0</v>
      </c>
      <c r="F216" s="23"/>
      <c r="G216" s="23"/>
      <c r="H216" s="23"/>
      <c r="I216" s="23"/>
      <c r="J216" s="27"/>
      <c r="K216" s="27"/>
      <c r="L216" s="23"/>
      <c r="N216" s="28" t="s">
        <v>282</v>
      </c>
    </row>
    <row r="217" spans="1:14" ht="10.5">
      <c r="A217" s="24">
        <v>37</v>
      </c>
      <c r="B217" s="7" t="s">
        <v>79</v>
      </c>
      <c r="C217" s="28" t="s">
        <v>244</v>
      </c>
      <c r="D217" s="31">
        <v>0</v>
      </c>
      <c r="F217" s="23">
        <f>ROUND(SUMIF(Определители!I6:I17,"=4",'Базовые цены с учетом расхода'!H6:H17),2)</f>
        <v>0</v>
      </c>
      <c r="G217" s="23"/>
      <c r="H217" s="23"/>
      <c r="I217" s="23"/>
      <c r="J217" s="27"/>
      <c r="K217" s="27"/>
      <c r="L217" s="23"/>
      <c r="N217" s="28" t="s">
        <v>283</v>
      </c>
    </row>
    <row r="218" spans="1:14" ht="10.5">
      <c r="A218" s="24">
        <v>38</v>
      </c>
      <c r="B218" s="7" t="s">
        <v>80</v>
      </c>
      <c r="C218" s="28" t="s">
        <v>244</v>
      </c>
      <c r="D218" s="31">
        <v>0</v>
      </c>
      <c r="F218" s="23">
        <f>ROUND(SUMIF(Определители!I6:I17,"=4",'Базовые цены с учетом расхода'!N6:N17),2)</f>
        <v>343.21</v>
      </c>
      <c r="G218" s="23"/>
      <c r="H218" s="23"/>
      <c r="I218" s="23"/>
      <c r="J218" s="27"/>
      <c r="K218" s="27"/>
      <c r="L218" s="23"/>
      <c r="N218" s="28" t="s">
        <v>284</v>
      </c>
    </row>
    <row r="219" spans="1:14" ht="10.5">
      <c r="A219" s="24">
        <v>39</v>
      </c>
      <c r="B219" s="7" t="s">
        <v>81</v>
      </c>
      <c r="C219" s="28" t="s">
        <v>244</v>
      </c>
      <c r="D219" s="31">
        <v>0</v>
      </c>
      <c r="F219" s="23">
        <f>ROUND(SUMIF(Определители!I6:I17,"=4",'Базовые цены с учетом расхода'!O6:O17),2)</f>
        <v>199.92</v>
      </c>
      <c r="G219" s="23"/>
      <c r="H219" s="23"/>
      <c r="I219" s="23"/>
      <c r="J219" s="27"/>
      <c r="K219" s="27"/>
      <c r="L219" s="23"/>
      <c r="N219" s="28" t="s">
        <v>285</v>
      </c>
    </row>
    <row r="220" spans="1:14" ht="10.5">
      <c r="A220" s="24">
        <v>40</v>
      </c>
      <c r="B220" s="7" t="s">
        <v>72</v>
      </c>
      <c r="C220" s="28" t="s">
        <v>244</v>
      </c>
      <c r="D220" s="31">
        <v>0</v>
      </c>
      <c r="F220" s="23" t="e">
        <f>ROUND(СУММПРОИЗВЕСЛИ(1,Определители!I6:I17," ",'Базовые цены с учетом расхода'!M6:M17,Начисления!I6:I17,0),2)</f>
        <v>#NAME?</v>
      </c>
      <c r="G220" s="23"/>
      <c r="H220" s="23"/>
      <c r="I220" s="23"/>
      <c r="J220" s="27"/>
      <c r="K220" s="27"/>
      <c r="L220" s="23"/>
      <c r="N220" s="28" t="s">
        <v>286</v>
      </c>
    </row>
    <row r="221" spans="1:14" ht="10.5">
      <c r="A221" s="24">
        <v>41</v>
      </c>
      <c r="B221" s="7" t="s">
        <v>92</v>
      </c>
      <c r="C221" s="28" t="s">
        <v>245</v>
      </c>
      <c r="D221" s="31">
        <v>0</v>
      </c>
      <c r="F221" s="23">
        <f>ROUND((F214+F218+F219),2)</f>
        <v>2651.39</v>
      </c>
      <c r="G221" s="23"/>
      <c r="H221" s="23"/>
      <c r="I221" s="23"/>
      <c r="J221" s="27"/>
      <c r="K221" s="27"/>
      <c r="L221" s="23"/>
      <c r="N221" s="28" t="s">
        <v>287</v>
      </c>
    </row>
    <row r="222" spans="1:14" ht="10.5">
      <c r="A222" s="24">
        <v>42</v>
      </c>
      <c r="B222" s="7" t="s">
        <v>93</v>
      </c>
      <c r="C222" s="28" t="s">
        <v>244</v>
      </c>
      <c r="D222" s="31">
        <v>0</v>
      </c>
      <c r="F222" s="23">
        <f>ROUND(SUMIF(Определители!I6:I17,"=5",'Базовые цены с учетом расхода'!B6:B17),2)</f>
        <v>0</v>
      </c>
      <c r="G222" s="23">
        <f>ROUND(SUMIF(Определители!I6:I17,"=5",'Базовые цены с учетом расхода'!C6:C17),2)</f>
        <v>0</v>
      </c>
      <c r="H222" s="23">
        <f>ROUND(SUMIF(Определители!I6:I17,"=5",'Базовые цены с учетом расхода'!D6:D17),2)</f>
        <v>0</v>
      </c>
      <c r="I222" s="23">
        <f>ROUND(SUMIF(Определители!I6:I17,"=5",'Базовые цены с учетом расхода'!E6:E17),2)</f>
        <v>0</v>
      </c>
      <c r="J222" s="27">
        <f>ROUND(SUMIF(Определители!I6:I17,"=5",'Базовые цены с учетом расхода'!I6:I17),8)</f>
        <v>0</v>
      </c>
      <c r="K222" s="27">
        <f>ROUND(SUMIF(Определители!I6:I17,"=5",'Базовые цены с учетом расхода'!K6:K17),8)</f>
        <v>0</v>
      </c>
      <c r="L222" s="23">
        <f>ROUND(SUMIF(Определители!I6:I17,"=5",'Базовые цены с учетом расхода'!F6:F17),2)</f>
        <v>0</v>
      </c>
      <c r="N222" s="28" t="s">
        <v>288</v>
      </c>
    </row>
    <row r="223" spans="1:14" ht="10.5">
      <c r="A223" s="24">
        <v>43</v>
      </c>
      <c r="B223" s="7" t="s">
        <v>79</v>
      </c>
      <c r="C223" s="28" t="s">
        <v>244</v>
      </c>
      <c r="D223" s="31">
        <v>0</v>
      </c>
      <c r="F223" s="23">
        <f>ROUND(SUMIF(Определители!I6:I17,"=5",'Базовые цены с учетом расхода'!H6:H17),2)</f>
        <v>0</v>
      </c>
      <c r="G223" s="23"/>
      <c r="H223" s="23"/>
      <c r="I223" s="23"/>
      <c r="J223" s="27"/>
      <c r="K223" s="27"/>
      <c r="L223" s="23"/>
      <c r="N223" s="28" t="s">
        <v>289</v>
      </c>
    </row>
    <row r="224" spans="1:14" ht="10.5">
      <c r="A224" s="24">
        <v>44</v>
      </c>
      <c r="B224" s="7" t="s">
        <v>80</v>
      </c>
      <c r="C224" s="28" t="s">
        <v>244</v>
      </c>
      <c r="D224" s="31">
        <v>0</v>
      </c>
      <c r="F224" s="23">
        <f>ROUND(SUMIF(Определители!I6:I17,"=5",'Базовые цены с учетом расхода'!N6:N17),2)</f>
        <v>0</v>
      </c>
      <c r="G224" s="23"/>
      <c r="H224" s="23"/>
      <c r="I224" s="23"/>
      <c r="J224" s="27"/>
      <c r="K224" s="27"/>
      <c r="L224" s="23"/>
      <c r="N224" s="28" t="s">
        <v>290</v>
      </c>
    </row>
    <row r="225" spans="1:14" ht="10.5">
      <c r="A225" s="24">
        <v>45</v>
      </c>
      <c r="B225" s="7" t="s">
        <v>81</v>
      </c>
      <c r="C225" s="28" t="s">
        <v>244</v>
      </c>
      <c r="D225" s="31">
        <v>0</v>
      </c>
      <c r="F225" s="23">
        <f>ROUND(SUMIF(Определители!I6:I17,"=5",'Базовые цены с учетом расхода'!O6:O17),2)</f>
        <v>0</v>
      </c>
      <c r="G225" s="23"/>
      <c r="H225" s="23"/>
      <c r="I225" s="23"/>
      <c r="J225" s="27"/>
      <c r="K225" s="27"/>
      <c r="L225" s="23"/>
      <c r="N225" s="28" t="s">
        <v>291</v>
      </c>
    </row>
    <row r="226" spans="1:14" ht="10.5">
      <c r="A226" s="24">
        <v>46</v>
      </c>
      <c r="B226" s="7" t="s">
        <v>94</v>
      </c>
      <c r="C226" s="28" t="s">
        <v>245</v>
      </c>
      <c r="D226" s="31">
        <v>0</v>
      </c>
      <c r="F226" s="23">
        <f>ROUND((F222+F224+F225),2)</f>
        <v>0</v>
      </c>
      <c r="G226" s="23"/>
      <c r="H226" s="23"/>
      <c r="I226" s="23"/>
      <c r="J226" s="27"/>
      <c r="K226" s="27"/>
      <c r="L226" s="23"/>
      <c r="N226" s="28" t="s">
        <v>292</v>
      </c>
    </row>
    <row r="227" spans="1:14" ht="10.5">
      <c r="A227" s="24">
        <v>47</v>
      </c>
      <c r="B227" s="7" t="s">
        <v>95</v>
      </c>
      <c r="C227" s="28" t="s">
        <v>244</v>
      </c>
      <c r="D227" s="31">
        <v>0</v>
      </c>
      <c r="F227" s="23">
        <f>ROUND(SUMIF(Определители!I6:I17,"=6",'Базовые цены с учетом расхода'!B6:B17),2)</f>
        <v>0</v>
      </c>
      <c r="G227" s="23">
        <f>ROUND(SUMIF(Определители!I6:I17,"=6",'Базовые цены с учетом расхода'!C6:C17),2)</f>
        <v>0</v>
      </c>
      <c r="H227" s="23">
        <f>ROUND(SUMIF(Определители!I6:I17,"=6",'Базовые цены с учетом расхода'!D6:D17),2)</f>
        <v>0</v>
      </c>
      <c r="I227" s="23">
        <f>ROUND(SUMIF(Определители!I6:I17,"=6",'Базовые цены с учетом расхода'!E6:E17),2)</f>
        <v>0</v>
      </c>
      <c r="J227" s="27">
        <f>ROUND(SUMIF(Определители!I6:I17,"=6",'Базовые цены с учетом расхода'!I6:I17),8)</f>
        <v>0</v>
      </c>
      <c r="K227" s="27">
        <f>ROUND(SUMIF(Определители!I6:I17,"=6",'Базовые цены с учетом расхода'!K6:K17),8)</f>
        <v>0</v>
      </c>
      <c r="L227" s="23">
        <f>ROUND(SUMIF(Определители!I6:I17,"=6",'Базовые цены с учетом расхода'!F6:F17),2)</f>
        <v>0</v>
      </c>
      <c r="N227" s="28" t="s">
        <v>293</v>
      </c>
    </row>
    <row r="228" spans="1:14" ht="10.5">
      <c r="A228" s="24">
        <v>48</v>
      </c>
      <c r="B228" s="7" t="s">
        <v>79</v>
      </c>
      <c r="C228" s="28" t="s">
        <v>244</v>
      </c>
      <c r="D228" s="31">
        <v>0</v>
      </c>
      <c r="F228" s="23">
        <f>ROUND(SUMIF(Определители!I6:I17,"=6",'Базовые цены с учетом расхода'!H6:H17),2)</f>
        <v>0</v>
      </c>
      <c r="G228" s="23"/>
      <c r="H228" s="23"/>
      <c r="I228" s="23"/>
      <c r="J228" s="27"/>
      <c r="K228" s="27"/>
      <c r="L228" s="23"/>
      <c r="N228" s="28" t="s">
        <v>294</v>
      </c>
    </row>
    <row r="229" spans="1:14" ht="10.5">
      <c r="A229" s="24">
        <v>49</v>
      </c>
      <c r="B229" s="7" t="s">
        <v>80</v>
      </c>
      <c r="C229" s="28" t="s">
        <v>244</v>
      </c>
      <c r="D229" s="31">
        <v>0</v>
      </c>
      <c r="F229" s="23">
        <f>ROUND(SUMIF(Определители!I6:I17,"=6",'Базовые цены с учетом расхода'!N6:N17),2)</f>
        <v>0</v>
      </c>
      <c r="G229" s="23"/>
      <c r="H229" s="23"/>
      <c r="I229" s="23"/>
      <c r="J229" s="27"/>
      <c r="K229" s="27"/>
      <c r="L229" s="23"/>
      <c r="N229" s="28" t="s">
        <v>295</v>
      </c>
    </row>
    <row r="230" spans="1:14" ht="10.5">
      <c r="A230" s="24">
        <v>50</v>
      </c>
      <c r="B230" s="7" t="s">
        <v>81</v>
      </c>
      <c r="C230" s="28" t="s">
        <v>244</v>
      </c>
      <c r="D230" s="31">
        <v>0</v>
      </c>
      <c r="F230" s="23">
        <f>ROUND(SUMIF(Определители!I6:I17,"=6",'Базовые цены с учетом расхода'!O6:O17),2)</f>
        <v>0</v>
      </c>
      <c r="G230" s="23"/>
      <c r="H230" s="23"/>
      <c r="I230" s="23"/>
      <c r="J230" s="27"/>
      <c r="K230" s="27"/>
      <c r="L230" s="23"/>
      <c r="N230" s="28" t="s">
        <v>296</v>
      </c>
    </row>
    <row r="231" spans="1:14" ht="10.5">
      <c r="A231" s="24">
        <v>51</v>
      </c>
      <c r="B231" s="7" t="s">
        <v>96</v>
      </c>
      <c r="C231" s="28" t="s">
        <v>245</v>
      </c>
      <c r="D231" s="31">
        <v>0</v>
      </c>
      <c r="F231" s="23">
        <f>ROUND((F227+F229+F230),2)</f>
        <v>0</v>
      </c>
      <c r="G231" s="23"/>
      <c r="H231" s="23"/>
      <c r="I231" s="23"/>
      <c r="J231" s="27"/>
      <c r="K231" s="27"/>
      <c r="L231" s="23"/>
      <c r="N231" s="28" t="s">
        <v>297</v>
      </c>
    </row>
    <row r="232" spans="1:14" ht="10.5">
      <c r="A232" s="24">
        <v>52</v>
      </c>
      <c r="B232" s="7" t="s">
        <v>97</v>
      </c>
      <c r="C232" s="28" t="s">
        <v>244</v>
      </c>
      <c r="D232" s="31">
        <v>0</v>
      </c>
      <c r="F232" s="23">
        <f>ROUND(SUMIF(Определители!I6:I17,"=7",'Базовые цены с учетом расхода'!B6:B17),2)</f>
        <v>0</v>
      </c>
      <c r="G232" s="23">
        <f>ROUND(SUMIF(Определители!I6:I17,"=7",'Базовые цены с учетом расхода'!C6:C17),2)</f>
        <v>0</v>
      </c>
      <c r="H232" s="23">
        <f>ROUND(SUMIF(Определители!I6:I17,"=7",'Базовые цены с учетом расхода'!D6:D17),2)</f>
        <v>0</v>
      </c>
      <c r="I232" s="23">
        <f>ROUND(SUMIF(Определители!I6:I17,"=7",'Базовые цены с учетом расхода'!E6:E17),2)</f>
        <v>0</v>
      </c>
      <c r="J232" s="27">
        <f>ROUND(SUMIF(Определители!I6:I17,"=7",'Базовые цены с учетом расхода'!I6:I17),8)</f>
        <v>0</v>
      </c>
      <c r="K232" s="27">
        <f>ROUND(SUMIF(Определители!I6:I17,"=7",'Базовые цены с учетом расхода'!K6:K17),8)</f>
        <v>0</v>
      </c>
      <c r="L232" s="23">
        <f>ROUND(SUMIF(Определители!I6:I17,"=7",'Базовые цены с учетом расхода'!F6:F17),2)</f>
        <v>0</v>
      </c>
      <c r="N232" s="28" t="s">
        <v>298</v>
      </c>
    </row>
    <row r="233" spans="1:14" ht="10.5">
      <c r="A233" s="24">
        <v>53</v>
      </c>
      <c r="B233" s="7" t="s">
        <v>75</v>
      </c>
      <c r="C233" s="28" t="s">
        <v>244</v>
      </c>
      <c r="D233" s="31">
        <v>0</v>
      </c>
      <c r="F233" s="23"/>
      <c r="G233" s="23"/>
      <c r="H233" s="23"/>
      <c r="I233" s="23"/>
      <c r="J233" s="27"/>
      <c r="K233" s="27"/>
      <c r="L233" s="23"/>
      <c r="N233" s="28" t="s">
        <v>299</v>
      </c>
    </row>
    <row r="234" spans="1:14" ht="10.5">
      <c r="A234" s="24">
        <v>54</v>
      </c>
      <c r="B234" s="7" t="s">
        <v>98</v>
      </c>
      <c r="C234" s="28" t="s">
        <v>244</v>
      </c>
      <c r="D234" s="31">
        <v>0</v>
      </c>
      <c r="F234" s="23" t="e">
        <f>ROUND(СУММЕСЛИ2(Определители!I6:I17,"2",Определители!G6:G17,"1",'Базовые цены с учетом расхода'!B6:B17),2)</f>
        <v>#NAME?</v>
      </c>
      <c r="G234" s="23"/>
      <c r="H234" s="23"/>
      <c r="I234" s="23"/>
      <c r="J234" s="27"/>
      <c r="K234" s="27"/>
      <c r="L234" s="23"/>
      <c r="N234" s="28" t="s">
        <v>300</v>
      </c>
    </row>
    <row r="235" spans="1:14" ht="10.5">
      <c r="A235" s="24">
        <v>55</v>
      </c>
      <c r="B235" s="7" t="s">
        <v>79</v>
      </c>
      <c r="C235" s="28" t="s">
        <v>244</v>
      </c>
      <c r="D235" s="31">
        <v>0</v>
      </c>
      <c r="F235" s="23">
        <f>ROUND(SUMIF(Определители!I6:I17,"=7",'Базовые цены с учетом расхода'!H6:H17),2)</f>
        <v>0</v>
      </c>
      <c r="G235" s="23"/>
      <c r="H235" s="23"/>
      <c r="I235" s="23"/>
      <c r="J235" s="27"/>
      <c r="K235" s="27"/>
      <c r="L235" s="23"/>
      <c r="N235" s="28" t="s">
        <v>301</v>
      </c>
    </row>
    <row r="236" spans="1:14" ht="10.5">
      <c r="A236" s="24">
        <v>56</v>
      </c>
      <c r="B236" s="7" t="s">
        <v>99</v>
      </c>
      <c r="C236" s="28" t="s">
        <v>244</v>
      </c>
      <c r="D236" s="31">
        <v>0</v>
      </c>
      <c r="F236" s="23">
        <f>ROUND(SUMIF(Определители!I6:I17,"=7",'Базовые цены с учетом расхода'!N6:N17),2)</f>
        <v>0</v>
      </c>
      <c r="G236" s="23"/>
      <c r="H236" s="23"/>
      <c r="I236" s="23"/>
      <c r="J236" s="27"/>
      <c r="K236" s="27"/>
      <c r="L236" s="23"/>
      <c r="N236" s="28" t="s">
        <v>302</v>
      </c>
    </row>
    <row r="237" spans="1:14" ht="10.5">
      <c r="A237" s="24">
        <v>57</v>
      </c>
      <c r="B237" s="7" t="s">
        <v>81</v>
      </c>
      <c r="C237" s="28" t="s">
        <v>244</v>
      </c>
      <c r="D237" s="31">
        <v>0</v>
      </c>
      <c r="F237" s="23">
        <f>ROUND(SUMIF(Определители!I6:I17,"=7",'Базовые цены с учетом расхода'!O6:O17),2)</f>
        <v>0</v>
      </c>
      <c r="G237" s="23"/>
      <c r="H237" s="23"/>
      <c r="I237" s="23"/>
      <c r="J237" s="27"/>
      <c r="K237" s="27"/>
      <c r="L237" s="23"/>
      <c r="N237" s="28" t="s">
        <v>303</v>
      </c>
    </row>
    <row r="238" spans="1:14" ht="10.5">
      <c r="A238" s="24">
        <v>58</v>
      </c>
      <c r="B238" s="7" t="s">
        <v>100</v>
      </c>
      <c r="C238" s="28" t="s">
        <v>245</v>
      </c>
      <c r="D238" s="31">
        <v>0</v>
      </c>
      <c r="F238" s="23">
        <f>ROUND((F232+F236+F237),2)</f>
        <v>0</v>
      </c>
      <c r="G238" s="23"/>
      <c r="H238" s="23"/>
      <c r="I238" s="23"/>
      <c r="J238" s="27"/>
      <c r="K238" s="27"/>
      <c r="L238" s="23"/>
      <c r="N238" s="28" t="s">
        <v>304</v>
      </c>
    </row>
    <row r="239" spans="1:14" ht="10.5">
      <c r="A239" s="24">
        <v>59</v>
      </c>
      <c r="B239" s="7" t="s">
        <v>101</v>
      </c>
      <c r="C239" s="28" t="s">
        <v>244</v>
      </c>
      <c r="D239" s="31">
        <v>0</v>
      </c>
      <c r="F239" s="23">
        <f>ROUND(SUMIF(Определители!I6:I17,"=9",'Базовые цены с учетом расхода'!B6:B17),2)</f>
        <v>0</v>
      </c>
      <c r="G239" s="23">
        <f>ROUND(SUMIF(Определители!I6:I17,"=9",'Базовые цены с учетом расхода'!C6:C17),2)</f>
        <v>0</v>
      </c>
      <c r="H239" s="23">
        <f>ROUND(SUMIF(Определители!I6:I17,"=9",'Базовые цены с учетом расхода'!D6:D17),2)</f>
        <v>0</v>
      </c>
      <c r="I239" s="23">
        <f>ROUND(SUMIF(Определители!I6:I17,"=9",'Базовые цены с учетом расхода'!E6:E17),2)</f>
        <v>0</v>
      </c>
      <c r="J239" s="27">
        <f>ROUND(SUMIF(Определители!I6:I17,"=9",'Базовые цены с учетом расхода'!I6:I17),8)</f>
        <v>0</v>
      </c>
      <c r="K239" s="27">
        <f>ROUND(SUMIF(Определители!I6:I17,"=9",'Базовые цены с учетом расхода'!K6:K17),8)</f>
        <v>0</v>
      </c>
      <c r="L239" s="23">
        <f>ROUND(SUMIF(Определители!I6:I17,"=9",'Базовые цены с учетом расхода'!F6:F17),2)</f>
        <v>0</v>
      </c>
      <c r="N239" s="28" t="s">
        <v>305</v>
      </c>
    </row>
    <row r="240" spans="1:14" ht="10.5">
      <c r="A240" s="24">
        <v>60</v>
      </c>
      <c r="B240" s="7" t="s">
        <v>99</v>
      </c>
      <c r="C240" s="28" t="s">
        <v>244</v>
      </c>
      <c r="D240" s="31">
        <v>0</v>
      </c>
      <c r="F240" s="23">
        <f>ROUND(SUMIF(Определители!I6:I17,"=9",'Базовые цены с учетом расхода'!N6:N17),2)</f>
        <v>0</v>
      </c>
      <c r="G240" s="23"/>
      <c r="H240" s="23"/>
      <c r="I240" s="23"/>
      <c r="J240" s="27"/>
      <c r="K240" s="27"/>
      <c r="L240" s="23"/>
      <c r="N240" s="28" t="s">
        <v>306</v>
      </c>
    </row>
    <row r="241" spans="1:14" ht="10.5">
      <c r="A241" s="24">
        <v>61</v>
      </c>
      <c r="B241" s="7" t="s">
        <v>81</v>
      </c>
      <c r="C241" s="28" t="s">
        <v>244</v>
      </c>
      <c r="D241" s="31">
        <v>0</v>
      </c>
      <c r="F241" s="23">
        <f>ROUND(SUMIF(Определители!I6:I17,"=9",'Базовые цены с учетом расхода'!O6:O17),2)</f>
        <v>0</v>
      </c>
      <c r="G241" s="23"/>
      <c r="H241" s="23"/>
      <c r="I241" s="23"/>
      <c r="J241" s="27"/>
      <c r="K241" s="27"/>
      <c r="L241" s="23"/>
      <c r="N241" s="28" t="s">
        <v>307</v>
      </c>
    </row>
    <row r="242" spans="1:14" ht="10.5">
      <c r="A242" s="24">
        <v>62</v>
      </c>
      <c r="B242" s="7" t="s">
        <v>102</v>
      </c>
      <c r="C242" s="28" t="s">
        <v>245</v>
      </c>
      <c r="D242" s="31">
        <v>0</v>
      </c>
      <c r="F242" s="23">
        <f>ROUND((F239+F240+F241),2)</f>
        <v>0</v>
      </c>
      <c r="G242" s="23"/>
      <c r="H242" s="23"/>
      <c r="I242" s="23"/>
      <c r="J242" s="27"/>
      <c r="K242" s="27"/>
      <c r="L242" s="23"/>
      <c r="N242" s="28" t="s">
        <v>308</v>
      </c>
    </row>
    <row r="243" spans="1:14" ht="10.5">
      <c r="A243" s="24">
        <v>63</v>
      </c>
      <c r="B243" s="7" t="s">
        <v>103</v>
      </c>
      <c r="C243" s="28" t="s">
        <v>244</v>
      </c>
      <c r="D243" s="31">
        <v>0</v>
      </c>
      <c r="F243" s="23">
        <f>ROUND(SUMIF(Определители!I6:I17,"=:",'Базовые цены с учетом расхода'!B6:B17),2)</f>
        <v>0</v>
      </c>
      <c r="G243" s="23">
        <f>ROUND(SUMIF(Определители!I6:I17,"=:",'Базовые цены с учетом расхода'!C6:C17),2)</f>
        <v>0</v>
      </c>
      <c r="H243" s="23">
        <f>ROUND(SUMIF(Определители!I6:I17,"=:",'Базовые цены с учетом расхода'!D6:D17),2)</f>
        <v>0</v>
      </c>
      <c r="I243" s="23">
        <f>ROUND(SUMIF(Определители!I6:I17,"=:",'Базовые цены с учетом расхода'!E6:E17),2)</f>
        <v>0</v>
      </c>
      <c r="J243" s="27">
        <f>ROUND(SUMIF(Определители!I6:I17,"=:",'Базовые цены с учетом расхода'!I6:I17),8)</f>
        <v>0</v>
      </c>
      <c r="K243" s="27">
        <f>ROUND(SUMIF(Определители!I6:I17,"=:",'Базовые цены с учетом расхода'!K6:K17),8)</f>
        <v>0</v>
      </c>
      <c r="L243" s="23">
        <f>ROUND(SUMIF(Определители!I6:I17,"=:",'Базовые цены с учетом расхода'!F6:F17),2)</f>
        <v>0</v>
      </c>
      <c r="N243" s="28" t="s">
        <v>309</v>
      </c>
    </row>
    <row r="244" spans="1:14" ht="10.5">
      <c r="A244" s="24">
        <v>64</v>
      </c>
      <c r="B244" s="7" t="s">
        <v>79</v>
      </c>
      <c r="C244" s="28" t="s">
        <v>244</v>
      </c>
      <c r="D244" s="31">
        <v>0</v>
      </c>
      <c r="F244" s="23">
        <f>ROUND(SUMIF(Определители!I6:I17,"=:",'Базовые цены с учетом расхода'!H6:H17),2)</f>
        <v>0</v>
      </c>
      <c r="G244" s="23"/>
      <c r="H244" s="23"/>
      <c r="I244" s="23"/>
      <c r="J244" s="27"/>
      <c r="K244" s="27"/>
      <c r="L244" s="23"/>
      <c r="N244" s="28" t="s">
        <v>310</v>
      </c>
    </row>
    <row r="245" spans="1:14" ht="10.5">
      <c r="A245" s="24">
        <v>65</v>
      </c>
      <c r="B245" s="7" t="s">
        <v>99</v>
      </c>
      <c r="C245" s="28" t="s">
        <v>244</v>
      </c>
      <c r="D245" s="31">
        <v>0</v>
      </c>
      <c r="F245" s="23">
        <f>ROUND(SUMIF(Определители!I6:I17,"=:",'Базовые цены с учетом расхода'!N6:N17),2)</f>
        <v>0</v>
      </c>
      <c r="G245" s="23"/>
      <c r="H245" s="23"/>
      <c r="I245" s="23"/>
      <c r="J245" s="27"/>
      <c r="K245" s="27"/>
      <c r="L245" s="23"/>
      <c r="N245" s="28" t="s">
        <v>311</v>
      </c>
    </row>
    <row r="246" spans="1:14" ht="10.5">
      <c r="A246" s="24">
        <v>66</v>
      </c>
      <c r="B246" s="7" t="s">
        <v>81</v>
      </c>
      <c r="C246" s="28" t="s">
        <v>244</v>
      </c>
      <c r="D246" s="31">
        <v>0</v>
      </c>
      <c r="F246" s="23">
        <f>ROUND(SUMIF(Определители!I6:I17,"=:",'Базовые цены с учетом расхода'!O6:O17),2)</f>
        <v>0</v>
      </c>
      <c r="G246" s="23"/>
      <c r="H246" s="23"/>
      <c r="I246" s="23"/>
      <c r="J246" s="27"/>
      <c r="K246" s="27"/>
      <c r="L246" s="23"/>
      <c r="N246" s="28" t="s">
        <v>312</v>
      </c>
    </row>
    <row r="247" spans="1:14" ht="10.5">
      <c r="A247" s="24">
        <v>67</v>
      </c>
      <c r="B247" s="7" t="s">
        <v>104</v>
      </c>
      <c r="C247" s="28" t="s">
        <v>245</v>
      </c>
      <c r="D247" s="31">
        <v>0</v>
      </c>
      <c r="F247" s="23">
        <f>ROUND((F243+F245+F246),2)</f>
        <v>0</v>
      </c>
      <c r="G247" s="23"/>
      <c r="H247" s="23"/>
      <c r="I247" s="23"/>
      <c r="J247" s="27"/>
      <c r="K247" s="27"/>
      <c r="L247" s="23"/>
      <c r="N247" s="28" t="s">
        <v>313</v>
      </c>
    </row>
    <row r="248" spans="1:14" ht="10.5">
      <c r="A248" s="24">
        <v>68</v>
      </c>
      <c r="B248" s="7" t="s">
        <v>105</v>
      </c>
      <c r="C248" s="28" t="s">
        <v>244</v>
      </c>
      <c r="D248" s="31">
        <v>0</v>
      </c>
      <c r="F248" s="23">
        <f>ROUND(SUMIF(Определители!I6:I17,"=8",'Базовые цены с учетом расхода'!B6:B17),2)</f>
        <v>0</v>
      </c>
      <c r="G248" s="23">
        <f>ROUND(SUMIF(Определители!I6:I17,"=8",'Базовые цены с учетом расхода'!C6:C17),2)</f>
        <v>0</v>
      </c>
      <c r="H248" s="23">
        <f>ROUND(SUMIF(Определители!I6:I17,"=8",'Базовые цены с учетом расхода'!D6:D17),2)</f>
        <v>0</v>
      </c>
      <c r="I248" s="23">
        <f>ROUND(SUMIF(Определители!I6:I17,"=8",'Базовые цены с учетом расхода'!E6:E17),2)</f>
        <v>0</v>
      </c>
      <c r="J248" s="27">
        <f>ROUND(SUMIF(Определители!I6:I17,"=8",'Базовые цены с учетом расхода'!I6:I17),8)</f>
        <v>0</v>
      </c>
      <c r="K248" s="27">
        <f>ROUND(SUMIF(Определители!I6:I17,"=8",'Базовые цены с учетом расхода'!K6:K17),8)</f>
        <v>0</v>
      </c>
      <c r="L248" s="23">
        <f>ROUND(SUMIF(Определители!I6:I17,"=8",'Базовые цены с учетом расхода'!F6:F17),2)</f>
        <v>0</v>
      </c>
      <c r="N248" s="28" t="s">
        <v>314</v>
      </c>
    </row>
    <row r="249" spans="1:14" ht="10.5">
      <c r="A249" s="24">
        <v>69</v>
      </c>
      <c r="B249" s="7" t="s">
        <v>79</v>
      </c>
      <c r="C249" s="28" t="s">
        <v>244</v>
      </c>
      <c r="D249" s="31">
        <v>0</v>
      </c>
      <c r="F249" s="23">
        <f>ROUND(SUMIF(Определители!I6:I17,"=8",'Базовые цены с учетом расхода'!H6:H17),2)</f>
        <v>0</v>
      </c>
      <c r="G249" s="23"/>
      <c r="H249" s="23"/>
      <c r="I249" s="23"/>
      <c r="J249" s="27"/>
      <c r="K249" s="27"/>
      <c r="L249" s="23"/>
      <c r="N249" s="28" t="s">
        <v>315</v>
      </c>
    </row>
    <row r="250" spans="1:14" ht="10.5">
      <c r="A250" s="24">
        <v>70</v>
      </c>
      <c r="B250" s="7" t="s">
        <v>133</v>
      </c>
      <c r="C250" s="28" t="s">
        <v>245</v>
      </c>
      <c r="D250" s="31">
        <v>0</v>
      </c>
      <c r="F250" s="23" t="e">
        <f>ROUND((F191+F201+F208+F213+F221+F226+F231+F238+F242+F247+F248),2)</f>
        <v>#NAME?</v>
      </c>
      <c r="G250" s="23">
        <f>ROUND((G191+G201+G208+G213+G221+G226+G231+G238+G242+G247+G248),2)</f>
        <v>0</v>
      </c>
      <c r="H250" s="23">
        <f>ROUND((H191+H201+H208+H213+H221+H226+H231+H238+H242+H247+H248),2)</f>
        <v>0</v>
      </c>
      <c r="I250" s="23">
        <f>ROUND((I191+I201+I208+I213+I221+I226+I231+I238+I242+I247+I248),2)</f>
        <v>0</v>
      </c>
      <c r="J250" s="27">
        <f>ROUND((J191+J201+J208+J213+J221+J226+J231+J238+J242+J247+J248),8)</f>
        <v>0</v>
      </c>
      <c r="K250" s="27">
        <f>ROUND((K191+K201+K208+K213+K221+K226+K231+K238+K242+K247+K248),8)</f>
        <v>0</v>
      </c>
      <c r="L250" s="23">
        <f>ROUND((L191+L201+L208+L213+L221+L226+L231+L238+L242+L247+L248),2)</f>
        <v>0</v>
      </c>
      <c r="N250" s="28" t="s">
        <v>316</v>
      </c>
    </row>
    <row r="251" spans="1:14" ht="10.5">
      <c r="A251" s="24">
        <v>71</v>
      </c>
      <c r="B251" s="7" t="s">
        <v>107</v>
      </c>
      <c r="C251" s="28" t="s">
        <v>245</v>
      </c>
      <c r="D251" s="31">
        <v>0</v>
      </c>
      <c r="F251" s="23">
        <f>ROUND((F197+F205+F210+F217+F223+F228+F235+F244+F249),2)</f>
        <v>0</v>
      </c>
      <c r="G251" s="23"/>
      <c r="H251" s="23"/>
      <c r="I251" s="23"/>
      <c r="J251" s="27"/>
      <c r="K251" s="27"/>
      <c r="L251" s="23"/>
      <c r="N251" s="28" t="s">
        <v>317</v>
      </c>
    </row>
    <row r="252" spans="1:14" ht="10.5">
      <c r="A252" s="24">
        <v>72</v>
      </c>
      <c r="B252" s="7" t="s">
        <v>108</v>
      </c>
      <c r="C252" s="28" t="s">
        <v>245</v>
      </c>
      <c r="D252" s="31">
        <v>0</v>
      </c>
      <c r="F252" s="23">
        <f>ROUND((F198+F206+F211+F218+F224+F229+F236+F240+F245),2)</f>
        <v>372.88</v>
      </c>
      <c r="G252" s="23"/>
      <c r="H252" s="23"/>
      <c r="I252" s="23"/>
      <c r="J252" s="27"/>
      <c r="K252" s="27"/>
      <c r="L252" s="23"/>
      <c r="N252" s="28" t="s">
        <v>318</v>
      </c>
    </row>
    <row r="253" spans="1:14" ht="10.5">
      <c r="A253" s="24">
        <v>73</v>
      </c>
      <c r="B253" s="7" t="s">
        <v>109</v>
      </c>
      <c r="C253" s="28" t="s">
        <v>245</v>
      </c>
      <c r="D253" s="31">
        <v>0</v>
      </c>
      <c r="F253" s="23">
        <f>ROUND((F199+F207+F212+F219+F225+F230+F237+F241+F246),2)</f>
        <v>217.9</v>
      </c>
      <c r="G253" s="23"/>
      <c r="H253" s="23"/>
      <c r="I253" s="23"/>
      <c r="J253" s="27"/>
      <c r="K253" s="27"/>
      <c r="L253" s="23"/>
      <c r="N253" s="28" t="s">
        <v>319</v>
      </c>
    </row>
    <row r="254" spans="1:14" ht="10.5">
      <c r="A254" s="24">
        <v>74</v>
      </c>
      <c r="B254" s="7" t="s">
        <v>110</v>
      </c>
      <c r="C254" s="28" t="s">
        <v>246</v>
      </c>
      <c r="D254" s="31">
        <v>0</v>
      </c>
      <c r="F254" s="23">
        <f>ROUND(SUM('Базовые цены с учетом расхода'!X6:X17),2)</f>
        <v>0</v>
      </c>
      <c r="G254" s="23"/>
      <c r="H254" s="23"/>
      <c r="I254" s="23"/>
      <c r="J254" s="27"/>
      <c r="K254" s="27"/>
      <c r="L254" s="23">
        <f>ROUND(SUM('Базовые цены с учетом расхода'!X6:X17),2)</f>
        <v>0</v>
      </c>
      <c r="N254" s="28" t="s">
        <v>320</v>
      </c>
    </row>
    <row r="255" spans="1:14" ht="10.5">
      <c r="A255" s="24">
        <v>75</v>
      </c>
      <c r="B255" s="7" t="s">
        <v>111</v>
      </c>
      <c r="C255" s="28" t="s">
        <v>246</v>
      </c>
      <c r="D255" s="31">
        <v>0</v>
      </c>
      <c r="F255" s="23">
        <f>ROUND(SUM('Базовые цены с учетом расхода'!C6:C17),2)</f>
        <v>356.88</v>
      </c>
      <c r="G255" s="23"/>
      <c r="H255" s="23"/>
      <c r="I255" s="23"/>
      <c r="J255" s="27"/>
      <c r="K255" s="27"/>
      <c r="L255" s="23"/>
      <c r="N255" s="28" t="s">
        <v>321</v>
      </c>
    </row>
    <row r="256" spans="1:14" ht="10.5">
      <c r="A256" s="24">
        <v>76</v>
      </c>
      <c r="B256" s="7" t="s">
        <v>112</v>
      </c>
      <c r="C256" s="28" t="s">
        <v>246</v>
      </c>
      <c r="D256" s="31">
        <v>0</v>
      </c>
      <c r="F256" s="23">
        <f>ROUND(SUM('Базовые цены с учетом расхода'!E6:E17),2)</f>
        <v>6.3</v>
      </c>
      <c r="G256" s="23"/>
      <c r="H256" s="23"/>
      <c r="I256" s="23"/>
      <c r="J256" s="27"/>
      <c r="K256" s="27"/>
      <c r="L256" s="23"/>
      <c r="N256" s="28" t="s">
        <v>322</v>
      </c>
    </row>
    <row r="257" spans="1:14" ht="10.5">
      <c r="A257" s="24">
        <v>77</v>
      </c>
      <c r="B257" s="7" t="s">
        <v>113</v>
      </c>
      <c r="C257" s="28" t="s">
        <v>247</v>
      </c>
      <c r="D257" s="31">
        <v>0</v>
      </c>
      <c r="F257" s="23">
        <f>ROUND((F255+F256),2)</f>
        <v>363.18</v>
      </c>
      <c r="G257" s="23"/>
      <c r="H257" s="23"/>
      <c r="I257" s="23"/>
      <c r="J257" s="27"/>
      <c r="K257" s="27"/>
      <c r="L257" s="23"/>
      <c r="N257" s="28" t="s">
        <v>323</v>
      </c>
    </row>
    <row r="258" spans="1:14" ht="10.5">
      <c r="A258" s="24">
        <v>78</v>
      </c>
      <c r="B258" s="7" t="s">
        <v>114</v>
      </c>
      <c r="C258" s="28" t="s">
        <v>246</v>
      </c>
      <c r="D258" s="31">
        <v>0</v>
      </c>
      <c r="F258" s="23"/>
      <c r="G258" s="23"/>
      <c r="H258" s="23"/>
      <c r="I258" s="23"/>
      <c r="J258" s="27" t="e">
        <f>ROUND(SUM('Базовые цены с учетом расхода'!I6:I17),8)</f>
        <v>#NAME?</v>
      </c>
      <c r="K258" s="27"/>
      <c r="L258" s="23"/>
      <c r="N258" s="28" t="s">
        <v>324</v>
      </c>
    </row>
    <row r="259" spans="1:14" ht="10.5">
      <c r="A259" s="24">
        <v>79</v>
      </c>
      <c r="B259" s="7" t="s">
        <v>115</v>
      </c>
      <c r="C259" s="28" t="s">
        <v>246</v>
      </c>
      <c r="D259" s="31">
        <v>0</v>
      </c>
      <c r="F259" s="23"/>
      <c r="G259" s="23"/>
      <c r="H259" s="23"/>
      <c r="I259" s="23"/>
      <c r="J259" s="27" t="e">
        <f>ROUND(SUM('Базовые цены с учетом расхода'!K6:K17),8)</f>
        <v>#NAME?</v>
      </c>
      <c r="K259" s="27"/>
      <c r="L259" s="23"/>
      <c r="N259" s="28" t="s">
        <v>325</v>
      </c>
    </row>
    <row r="260" spans="1:14" ht="10.5">
      <c r="A260" s="24">
        <v>80</v>
      </c>
      <c r="B260" s="7" t="s">
        <v>116</v>
      </c>
      <c r="C260" s="28" t="s">
        <v>247</v>
      </c>
      <c r="D260" s="31">
        <v>0</v>
      </c>
      <c r="F260" s="23"/>
      <c r="G260" s="23"/>
      <c r="H260" s="23"/>
      <c r="I260" s="23"/>
      <c r="J260" s="27" t="e">
        <f>ROUND((J258+J259),8)</f>
        <v>#NAME?</v>
      </c>
      <c r="K260" s="27"/>
      <c r="L260" s="23"/>
      <c r="N260" s="28" t="s">
        <v>326</v>
      </c>
    </row>
    <row r="261" spans="1:14" ht="10.5">
      <c r="A261" s="24">
        <v>81</v>
      </c>
      <c r="B261" s="7" t="s">
        <v>117</v>
      </c>
      <c r="C261" s="28" t="s">
        <v>248</v>
      </c>
      <c r="D261" s="31">
        <v>3.45</v>
      </c>
      <c r="F261" s="23" t="e">
        <f>ROUND((F250)*D261,2)</f>
        <v>#NAME?</v>
      </c>
      <c r="G261" s="23"/>
      <c r="H261" s="23"/>
      <c r="I261" s="23"/>
      <c r="J261" s="27"/>
      <c r="K261" s="27"/>
      <c r="L261" s="23"/>
      <c r="N261" s="28" t="s">
        <v>327</v>
      </c>
    </row>
    <row r="262" spans="1:14" ht="10.5">
      <c r="A262" s="24">
        <v>82</v>
      </c>
      <c r="B262" s="7" t="s">
        <v>118</v>
      </c>
      <c r="C262" s="28" t="s">
        <v>249</v>
      </c>
      <c r="D262" s="31">
        <v>18</v>
      </c>
      <c r="F262" s="23" t="e">
        <f>ROUND((F261)*D262/100,2)</f>
        <v>#NAME?</v>
      </c>
      <c r="G262" s="23"/>
      <c r="H262" s="23"/>
      <c r="I262" s="23"/>
      <c r="J262" s="27"/>
      <c r="K262" s="27"/>
      <c r="L262" s="23"/>
      <c r="N262" s="28" t="s">
        <v>328</v>
      </c>
    </row>
    <row r="263" spans="1:14" ht="10.5">
      <c r="A263" s="24">
        <v>83</v>
      </c>
      <c r="B263" s="7" t="s">
        <v>134</v>
      </c>
      <c r="C263" s="28" t="s">
        <v>247</v>
      </c>
      <c r="D263" s="31">
        <v>0</v>
      </c>
      <c r="F263" s="23" t="e">
        <f>ROUND((F261+F262),2)</f>
        <v>#NAME?</v>
      </c>
      <c r="G263" s="23"/>
      <c r="H263" s="23"/>
      <c r="I263" s="23"/>
      <c r="J263" s="27"/>
      <c r="K263" s="27"/>
      <c r="L263" s="23"/>
      <c r="N263" s="28" t="s">
        <v>329</v>
      </c>
    </row>
  </sheetData>
  <sheetProtection/>
  <mergeCells count="6">
    <mergeCell ref="B7:J8"/>
    <mergeCell ref="B94:J95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2010-02-03T04:57:07Z</dcterms:created>
  <dcterms:modified xsi:type="dcterms:W3CDTF">2013-08-21T21:02:27Z</dcterms:modified>
  <cp:category/>
  <cp:version/>
  <cp:contentType/>
  <cp:contentStatus/>
</cp:coreProperties>
</file>