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Форма 4" sheetId="1" r:id="rId1"/>
    <sheet name="Базовые цены за единицу без нач" sheetId="2" r:id="rId2"/>
    <sheet name="Базовые цены за единицу" sheetId="3" r:id="rId3"/>
    <sheet name="Базовые цены с учетом расхода" sheetId="4" r:id="rId4"/>
    <sheet name="Начисления" sheetId="5" r:id="rId5"/>
    <sheet name="Определители" sheetId="6" r:id="rId6"/>
    <sheet name="Базовые концовки" sheetId="7" r:id="rId7"/>
  </sheets>
  <definedNames/>
  <calcPr fullCalcOnLoad="1"/>
</workbook>
</file>

<file path=xl/sharedStrings.xml><?xml version="1.0" encoding="utf-8"?>
<sst xmlns="http://schemas.openxmlformats.org/spreadsheetml/2006/main" count="989" uniqueCount="345">
  <si>
    <t>Форма 4</t>
  </si>
  <si>
    <t>«СОГЛАСОВАНО»</t>
  </si>
  <si>
    <t>«УТВЕРЖДАЮ»</t>
  </si>
  <si>
    <t>Смета на сумму:</t>
  </si>
  <si>
    <t>руб.</t>
  </si>
  <si>
    <t xml:space="preserve">Объект: </t>
  </si>
  <si>
    <t>1</t>
  </si>
  <si>
    <t>(Локальный сметный расчет)</t>
  </si>
  <si>
    <t>на ремонт теплотрассы</t>
  </si>
  <si>
    <t xml:space="preserve">Основание: </t>
  </si>
  <si>
    <t>Дефектная ведомость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</si>
  <si>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</si>
  <si>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</si>
  <si>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</si>
  <si>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</si>
  <si>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</si>
  <si>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Текущая стоимость:</t>
  </si>
  <si>
    <t>Составлена в базисных ценах на 01.2000 г.</t>
  </si>
  <si>
    <t>№ поз</t>
  </si>
  <si>
    <t>Шифр и № позиции норматива, Наименование работ и затрат, Единица измерения</t>
  </si>
  <si>
    <t>Количе-ство</t>
  </si>
  <si>
    <t>Стоим. ед., руб.</t>
  </si>
  <si>
    <t>Общая стоимость, руб.</t>
  </si>
  <si>
    <t>Затр. труда рабочих, не зан. обсл. машин, чел-ч</t>
  </si>
  <si>
    <t>всего</t>
  </si>
  <si>
    <t>экс. маш.</t>
  </si>
  <si>
    <t>оплата труда осн. раб.</t>
  </si>
  <si>
    <t>обслуж. машины</t>
  </si>
  <si>
    <t>в т.ч. опл. труда мех.</t>
  </si>
  <si>
    <t>на ед.</t>
  </si>
  <si>
    <t>1.</t>
  </si>
  <si>
    <t>Е01-01-003-9
Разработка грунта в отвал экскаваторами &lt;драглайн&gt; или &lt;обратная лопата&gt; с ковшом вместимостью 0,65 (0,5-1) м3, группа грунтов: 3  Т.Ч. п.3.66  Кзтр=1,2; Кэм=1,2, 1000 м3</t>
  </si>
  <si>
    <t>sum</t>
  </si>
  <si>
    <t>IsZPR</t>
  </si>
  <si>
    <t>sum_b</t>
  </si>
  <si>
    <t>IsZPM</t>
  </si>
  <si>
    <t>Зарплата рабочих</t>
  </si>
  <si>
    <t>Эксплуатация машин</t>
  </si>
  <si>
    <t>в т.ч. зарплата машинистов</t>
  </si>
  <si>
    <t>Материалы</t>
  </si>
  <si>
    <t>в т.ч. Вспомогательные материалы от стоимости материалов</t>
  </si>
  <si>
    <t>в т.ч. С999-9950 Ненормируемые материалы от зарплаты основных рабочих</t>
  </si>
  <si>
    <t>в т.ч. Ненормированная з.п. рабочих</t>
  </si>
  <si>
    <t>в т.ч. Ненормированная стоимость эксплуатации машин</t>
  </si>
  <si>
    <t>в т.ч. Ненормированная оплата механизаторов</t>
  </si>
  <si>
    <t>Накладные расходы</t>
  </si>
  <si>
    <t>Nakl</t>
  </si>
  <si>
    <t>НР от ЗПР</t>
  </si>
  <si>
    <t>Nakl_ZPR</t>
  </si>
  <si>
    <t>НР от ЗПМ</t>
  </si>
  <si>
    <t>Nakl_ZPM</t>
  </si>
  <si>
    <t>Сметная прибыль</t>
  </si>
  <si>
    <t>Plan</t>
  </si>
  <si>
    <t>СП от ЗПР</t>
  </si>
  <si>
    <t>Plan_ZPR</t>
  </si>
  <si>
    <t>СП от ЗПМ</t>
  </si>
  <si>
    <t>Plan_ZPM</t>
  </si>
  <si>
    <t>2.</t>
  </si>
  <si>
    <t>Е01-02-057-3
Разработка грунта вручную в траншеях глубиной до 2 м без креплений с откосами, группа грунтов: 3  Т.Ч. п.3.187  Кзтр=1,2, 100 м3</t>
  </si>
  <si>
    <t>3.</t>
  </si>
  <si>
    <t>Е07-06-002-7
Демонтаж плит перекрытий каналов площадью до 5 м2, шт.</t>
  </si>
  <si>
    <t>4.</t>
  </si>
  <si>
    <t>Е01-02-068-1
Водоотлив из траншей, 100 м3</t>
  </si>
  <si>
    <t>5.</t>
  </si>
  <si>
    <t>Е66-18-16
Демонтаж сальниковых компенсаторов в камерах диаметром труб до 400 мм, шт.</t>
  </si>
  <si>
    <t>6.</t>
  </si>
  <si>
    <t>Е24-01-027-7
Установка сальниковых компенсаторов диаметром труб: 400 мм, шт.</t>
  </si>
  <si>
    <t xml:space="preserve">   Вычт.ресурсы:  С300-1279:[ М-(4450.00=4450.00*1) ]</t>
  </si>
  <si>
    <t>7.</t>
  </si>
  <si>
    <t>8.</t>
  </si>
  <si>
    <t>Е13-03-002-4
Огрунтовка металлических поверхностей за один раз грунтовкой: ГФ-021  Т.Ч. п.1.8 Кзтр=1,1, 100 м2</t>
  </si>
  <si>
    <t>9.</t>
  </si>
  <si>
    <t>Е13-03-004-23
Окраска металлических огрунтованных поверхностей краской БТ-177 серебристой  Т.Ч. п.1.8 Кзтр=1,1 за два раза, 100 м2</t>
  </si>
  <si>
    <t>10.</t>
  </si>
  <si>
    <t>Е07-06-002-7
Устройство плит перекрытий каналов площадью до 5 м2, шт.</t>
  </si>
  <si>
    <t>11.</t>
  </si>
  <si>
    <t>Е01-02-061-2
Засыпка вручную траншей, пазух котлованов и ям, группа грунтов: 2, 100 м3</t>
  </si>
  <si>
    <t>12.</t>
  </si>
  <si>
    <t>Е01-01-033-2
Засыпка траншей и котлованов с перемещением грунта до 5 м бульдозерами мощностью: 59 (80) кВт (л.с.), 2 группа грунтов, 1000 м3</t>
  </si>
  <si>
    <t>.    ИТОГО  ПО  СМЕТЕ</t>
  </si>
  <si>
    <t>СТОИМОСТЬ ОБОРУДОВАНИЯ -</t>
  </si>
  <si>
    <t>.   ЗАПАСНЫЕ ЧАСТИ -</t>
  </si>
  <si>
    <t>.   ТАРА И УПАКОВКА -</t>
  </si>
  <si>
    <t>.   ТРАНСПОРТНЫЕ РАСХОДЫ -</t>
  </si>
  <si>
    <t>.   КОМПЛЕКТАЦИЯ -</t>
  </si>
  <si>
    <t>.   НАЦЕНКА СНАБА -</t>
  </si>
  <si>
    <t>.   ЗАГОТОВИТЕЛЬНО-СКЛАДСКИЕ РАСХОДЫ -</t>
  </si>
  <si>
    <t>. ШЕФМОНТАЖ ПО ОБОРУДОВАНИЮ -</t>
  </si>
  <si>
    <t>. ШЕФМОНТАЖ -</t>
  </si>
  <si>
    <t>ВСЕГО, СТОИМОСТЬ ОБОРУДОВАНИЯ -</t>
  </si>
  <si>
    <t>СТОИМОСТЬ МОНТАЖНЫХ РАБОТ -</t>
  </si>
  <si>
    <t>.     В ТОМ ЧИСЛЕ:</t>
  </si>
  <si>
    <t>. ОТКЛОНЕНИЕ ПО ЗАРАБОТНОЙ ПЛАТЕ -</t>
  </si>
  <si>
    <t>. КОСВЕННЫЕ РАСХОДЫ -</t>
  </si>
  <si>
    <t>. МАТЕР.РЕСУРСЫ НЕ УЧТЕННЫЕ В РАСЦЕНКАХ -</t>
  </si>
  <si>
    <t>.   СТОИМОСТЬ ВОЗВРАЩАЕМЫХ МАТЕРИАЛОВ -</t>
  </si>
  <si>
    <t>.   НАКЛАДНЫЕ РАСХОДЫ -</t>
  </si>
  <si>
    <t>.   СМЕТНАЯ ПРИБЫЛЬ -</t>
  </si>
  <si>
    <t>ВСЕГО, СТОИМОСТЬ МОНТАЖНЫХ РАБОТ -</t>
  </si>
  <si>
    <t>СТОИМОСТЬ ОБЩЕСТРОИТЕЛЬНЫХ РАБОТ -</t>
  </si>
  <si>
    <t>.       МАТЕРИАЛОВ -</t>
  </si>
  <si>
    <t>.   НАКЛАДНЫЕ РАСХОДЫ - (%=95 - по стр. 1, 12; %=80 - по стр. 2, 4, 11; %=117 - по стр. 3, 10; %=108 - по стр. 5; %=130 - по стр. 6; %=81 - по стр. 8, 9)</t>
  </si>
  <si>
    <t>.   СМЕТНАЯ ПРИБЫЛЬ - (%=43 - по стр. 1, 12; %=38 - по стр. 2, 4, 11; %=72 - по стр. 3, 10; %=68 - по стр. 5; %=76 - по стр. 6; %=60 - по стр. 8, 9)</t>
  </si>
  <si>
    <t>ВСЕГО, СТОИМОСТЬ ОБЩЕСТРОИТЕЛЬНЫХ РАБОТ -</t>
  </si>
  <si>
    <t>СТОИМОСТЬ МЕТАЛЛОМОНТАЖНЫХ РАБОТ -</t>
  </si>
  <si>
    <t>ВСЕГО, СТОИМОСТЬ МЕТАЛЛОМОНТАЖНЫХ РАБОТ -</t>
  </si>
  <si>
    <t>СТОИМОСТЬ САНТЕХНИЧЕСКИХ РАБОТ -</t>
  </si>
  <si>
    <t>. СДАЧА И ИСПЫТАНИЕ -</t>
  </si>
  <si>
    <t>ВСЕГО, СТОИМОСТЬ САНТЕХНИЧЕСКИХ РАБОТ -</t>
  </si>
  <si>
    <t>СТОИМОСТЬ БУРО-ВЗРЫВНЫХ РАБОТ -</t>
  </si>
  <si>
    <t>ВСЕГО, СТОИМОСТЬ БУРО-ВЗРЫВНЫХ РАБОТ -</t>
  </si>
  <si>
    <t>СТОИМОСТЬ ГОРНОПРОХОДЧЕСКИХ РАБОТ -</t>
  </si>
  <si>
    <t>ВСЕГО, СТОИМОСТЬ ГОРНОПРОХОДЧЕСКИХ РАБОТ -</t>
  </si>
  <si>
    <t>СТОИМОСТЬ PЕСТАВPАЦИОННЫХ PАБОТ -</t>
  </si>
  <si>
    <t>. МАТЕPИАЛЫ -</t>
  </si>
  <si>
    <t>.   НАКЛАДНЫЕ PАСХОДЫ -</t>
  </si>
  <si>
    <t>ВСЕГО, СТОИМОСТЬ PЕСТАВPАЦИОННЫХ PАБОТ -</t>
  </si>
  <si>
    <t>СТОИМОСТЬ ПУСКОНАЛАДОЧНЫХ PАБОТ -</t>
  </si>
  <si>
    <t>ВСЕГО, СТОИМОСТЬ ПУСКОНАЛАДОЧНЫХ PАБОТ -</t>
  </si>
  <si>
    <t>СТОИМОСТЬ ПРОЧИХ PАБОТ (С НАКЛ. И ПЛАН.) -</t>
  </si>
  <si>
    <t>ВСЕГО, СТОИМОСТЬ ПPОЧИХ PАБОТ (С НАКЛ. И ПЛАН.) -</t>
  </si>
  <si>
    <t>ВСЕГО, СТОИМОСТЬ ПPОЧИХ PАБОТ (БЕЗ НАКЛ. И ПЛАН.) -</t>
  </si>
  <si>
    <t>. ВСЕГО  ПО  СМЕТЕ</t>
  </si>
  <si>
    <t>ВСЕГО СТОИМОСТЬ ВОЗВРАЩАЕМЫХ МАТЕРИАЛОВ -</t>
  </si>
  <si>
    <t>ВСЕГО НАКЛАДНЫЕ РАСХОДЫ</t>
  </si>
  <si>
    <t>ВСЕГО СМЕТНАЯ ПРИБЫЛЬ</t>
  </si>
  <si>
    <t>Ст-ть ненормир.(вспомогат.) материалов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</si>
  <si>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</si>
  <si>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</si>
  <si>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</si>
  <si>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</si>
  <si>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</si>
  <si>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</si>
  <si>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с коэфф. удорожания МВК прот.№6 от 29.12.2008г.</t>
  </si>
  <si>
    <t>НДС</t>
  </si>
  <si>
    <t>ВСЕГО ПО СМЕТЕ С НДС</t>
  </si>
  <si>
    <t>Составил:</t>
  </si>
  <si>
    <t>(должность, подпись, Ф.И.О)</t>
  </si>
  <si>
    <t>Проверил:</t>
  </si>
  <si>
    <t>C1</t>
  </si>
  <si>
    <t>C2</t>
  </si>
  <si>
    <t>C3</t>
  </si>
  <si>
    <t>C4</t>
  </si>
  <si>
    <t>C5</t>
  </si>
  <si>
    <t>C6</t>
  </si>
  <si>
    <t>VOZVR</t>
  </si>
  <si>
    <t>C8</t>
  </si>
  <si>
    <t>C9</t>
  </si>
  <si>
    <t>C10</t>
  </si>
  <si>
    <t>C11</t>
  </si>
  <si>
    <t>C12</t>
  </si>
  <si>
    <t>NAKL</t>
  </si>
  <si>
    <t>PLAN</t>
  </si>
  <si>
    <t>NAKL_ZPR</t>
  </si>
  <si>
    <t>NAKL_ZPM</t>
  </si>
  <si>
    <t>PLAN_ZPR</t>
  </si>
  <si>
    <t>PLAN_ZPM</t>
  </si>
  <si>
    <t>RN11</t>
  </si>
  <si>
    <t>RN12</t>
  </si>
  <si>
    <t>RN13</t>
  </si>
  <si>
    <t>OBORUD_VSPOMOG</t>
  </si>
  <si>
    <t>NAKL_PN</t>
  </si>
  <si>
    <t>NAKL_VX</t>
  </si>
  <si>
    <t>PLAN_PN</t>
  </si>
  <si>
    <t>PLAN_VX</t>
  </si>
  <si>
    <t>VTCH_PN</t>
  </si>
  <si>
    <t>VTCH_VX</t>
  </si>
  <si>
    <t>N = &lt; 383/09 * 383/09 * 383/09 &gt;</t>
  </si>
  <si>
    <t xml:space="preserve">          ремонт теплотрассы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</si>
  <si>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</si>
  <si>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</si>
  <si>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</si>
  <si>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</si>
  <si>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</si>
  <si>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</si>
  <si>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</si>
  <si>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</si>
  <si>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</si>
  <si>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</si>
  <si>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</si>
  <si>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</si>
  <si>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</si>
  <si>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</si>
  <si>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</si>
  <si>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</si>
  <si>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</si>
  <si>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</si>
  <si>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</si>
  <si>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</si>
  <si>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</si>
  <si>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</si>
  <si>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</si>
  <si>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</si>
  <si>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</si>
  <si>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</si>
  <si>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</si>
  <si>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</si>
  <si>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</si>
  <si>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</si>
  <si>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</si>
  <si>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</si>
  <si>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</si>
  <si>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</si>
  <si>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</si>
  <si>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</si>
  <si>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</si>
  <si>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</si>
  <si>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</si>
  <si>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</si>
  <si>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Н41</t>
  </si>
  <si>
    <t>Н42</t>
  </si>
  <si>
    <t>Н43</t>
  </si>
  <si>
    <t>Н44</t>
  </si>
  <si>
    <t>Н45</t>
  </si>
  <si>
    <t>Н46</t>
  </si>
  <si>
    <t>Н47</t>
  </si>
  <si>
    <t>Н48</t>
  </si>
  <si>
    <t>Н49</t>
  </si>
  <si>
    <t>О0</t>
  </si>
  <si>
    <t>О1</t>
  </si>
  <si>
    <t>О2</t>
  </si>
  <si>
    <t>О3</t>
  </si>
  <si>
    <t>О4</t>
  </si>
  <si>
    <t>О5</t>
  </si>
  <si>
    <t>О6</t>
  </si>
  <si>
    <t>О7</t>
  </si>
  <si>
    <t>О8</t>
  </si>
  <si>
    <t xml:space="preserve"> </t>
  </si>
  <si>
    <t>0</t>
  </si>
  <si>
    <t>2</t>
  </si>
  <si>
    <t>Наименование</t>
  </si>
  <si>
    <t>Вид</t>
  </si>
  <si>
    <t>Значение</t>
  </si>
  <si>
    <t>ЕИ</t>
  </si>
  <si>
    <t>Z1</t>
  </si>
  <si>
    <t>Z2</t>
  </si>
  <si>
    <t>Z3</t>
  </si>
  <si>
    <t>Z4</t>
  </si>
  <si>
    <t>Z5</t>
  </si>
  <si>
    <t>Z6</t>
  </si>
  <si>
    <t>Z7</t>
  </si>
  <si>
    <t>Z8</t>
  </si>
  <si>
    <t>А</t>
  </si>
  <si>
    <t>Б</t>
  </si>
  <si>
    <t>3</t>
  </si>
  <si>
    <t>4</t>
  </si>
  <si>
    <t>5</t>
  </si>
  <si>
    <t>6</t>
  </si>
  <si>
    <t>7</t>
  </si>
  <si>
    <t>8</t>
  </si>
  <si>
    <t>9</t>
  </si>
  <si>
    <t>!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</si>
  <si>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</si>
  <si>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</si>
  <si>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</si>
  <si>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</si>
  <si>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</si>
  <si>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</si>
  <si>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</si>
  <si>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</si>
  <si>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</si>
  <si>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</si>
  <si>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</si>
  <si>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</si>
  <si>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</si>
  <si>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</si>
  <si>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</si>
  <si>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</si>
  <si>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</si>
  <si>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</si>
  <si>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</si>
  <si>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</si>
  <si>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</si>
  <si>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</si>
  <si>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</si>
  <si>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</si>
  <si>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</si>
  <si>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</si>
  <si>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</si>
  <si>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</si>
  <si>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</si>
  <si>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</si>
  <si>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</si>
  <si>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</si>
  <si>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</si>
  <si>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</si>
  <si>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</si>
  <si>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</si>
  <si>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</si>
  <si>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</si>
  <si>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</si>
  <si>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</si>
  <si>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</si>
  <si>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</si>
  <si>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</si>
  <si>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</si>
  <si>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</si>
  <si>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</si>
  <si>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</si>
  <si>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</si>
  <si>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</si>
  <si>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</si>
  <si>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</si>
  <si>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</si>
  <si>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</si>
  <si>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</si>
  <si>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</si>
  <si>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</si>
  <si>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</si>
  <si>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</si>
  <si>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</si>
  <si>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</si>
  <si>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</si>
  <si>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</si>
  <si>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</si>
  <si>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</si>
  <si>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h</t>
  </si>
  <si>
    <t>74</t>
  </si>
  <si>
    <t>75</t>
  </si>
  <si>
    <t>76</t>
  </si>
  <si>
    <t>s</t>
  </si>
  <si>
    <t>77</t>
  </si>
  <si>
    <t>78</t>
  </si>
  <si>
    <t>79</t>
  </si>
  <si>
    <t>80</t>
  </si>
  <si>
    <t>k</t>
  </si>
  <si>
    <t>81</t>
  </si>
  <si>
    <t>%</t>
  </si>
  <si>
    <t>82</t>
  </si>
  <si>
    <t>83</t>
  </si>
  <si>
    <t>С999-СЧЕТ-ФАКТ.
Компенсаторы сальниковые (односторонние) из стальных электросварных и бесшовных труб, для тепловых сетей, поставляются с сальниковой набивкой, диаметром, мм: 400  30500/1,18/3,69, шт.</t>
  </si>
  <si>
    <r>
      <t>Директор________________ /</t>
    </r>
    <r>
      <rPr>
        <u val="single"/>
        <sz val="8"/>
        <rFont val="Verdana"/>
        <family val="2"/>
      </rPr>
      <t>_____________</t>
    </r>
    <r>
      <rPr>
        <sz val="8"/>
        <rFont val="Verdana"/>
        <family val="2"/>
      </rPr>
      <t xml:space="preserve"> /</t>
    </r>
  </si>
  <si>
    <r>
      <t>Генеральный директор________________ /</t>
    </r>
    <r>
      <rPr>
        <u val="single"/>
        <sz val="8"/>
        <rFont val="Verdana"/>
        <family val="2"/>
      </rPr>
      <t>_____________</t>
    </r>
    <r>
      <rPr>
        <sz val="8"/>
        <rFont val="Verdana"/>
        <family val="2"/>
      </rPr>
      <t xml:space="preserve"> /</t>
    </r>
  </si>
  <si>
    <t>«______»____________________ 201__г.</t>
  </si>
  <si>
    <t>ЛОКАЛЬНАЯ СМЕТА № 1</t>
  </si>
  <si>
    <t>поселок…в черте города.</t>
  </si>
  <si>
    <t xml:space="preserve">   Начисления: Н3(ЭМ)= 1.25*1.2, Н4(ЗПМ)= 1.25*1.2, Н5(ОЗП)= 1.15</t>
  </si>
  <si>
    <t xml:space="preserve">   Начисления: Н5(ОЗП)= 1.15*1.2</t>
  </si>
  <si>
    <t xml:space="preserve">   Начисления: Н3(ЭМ)= 0.8, Н4(ЗПМ)= 0.8, Н5(ОЗП)= 0.8, Н48(М)= 0</t>
  </si>
  <si>
    <t xml:space="preserve">   Начисления: Н3(ЭМ)= 1.25, Н4(ЗПМ)= 1.25</t>
  </si>
  <si>
    <t xml:space="preserve">   Начисления: Н3(ЭМ)= 1.25, Н4(ЗПМ)= 1.25, Н5(ОЗП)= 1.15</t>
  </si>
  <si>
    <t xml:space="preserve">   Начисления: Н3(ЭМ)= 1.25, Н4(ЗПМ)= 1.25, Н5(ОЗП)= 1.0*1.1*1.15</t>
  </si>
  <si>
    <t xml:space="preserve">   Начисления: Н3(ЭМ)= (1.25)*2, Н4(ЗПМ)= (1.25)*2, Н5(ОЗП)= (1.15*1.1)*2, Н48(М)= (1)*2</t>
  </si>
  <si>
    <t xml:space="preserve">   Начисления: Н5(ОЗП)= 1.15</t>
  </si>
  <si>
    <t>ИТОГО ПО СМЕТЕ С КОЭФФ.УДОРОЖАНИЯ(I квартал 2011г.)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</si>
</sst>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\ ###.#0"/>
    <numFmt numFmtId="166" formatCode="##0"/>
    <numFmt numFmtId="167" formatCode="#,##0.00;\-#,##0.00;"/>
    <numFmt numFmtId="168" formatCode="#,##0.00;\-#,##0.00;#,##0.00"/>
    <numFmt numFmtId="169" formatCode="#,##0.00000000;\-#,##0.00000000;#,##0.00000000"/>
    <numFmt numFmtId="170" formatCode="#,##0.00######################"/>
    <numFmt numFmtId="171" formatCode="#,##0.00_ ;\-#,##0.00\ "/>
    <numFmt numFmtId="172" formatCode="#,##0.00;[Red]#,##0.00"/>
  </numFmts>
  <fonts count="23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u val="single"/>
      <sz val="8"/>
      <name val="Verdana"/>
      <family val="0"/>
    </font>
    <font>
      <i/>
      <sz val="8"/>
      <name val="Verdana"/>
      <family val="2"/>
    </font>
    <font>
      <b/>
      <u val="single"/>
      <sz val="8"/>
      <name val="Verdana"/>
      <family val="2"/>
    </font>
    <font>
      <sz val="1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56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</cellStyleXfs>
  <cellXfs count="71">
    <xf numFmtId="0" fontId="0" fillId="0" borderId="0" xfId="0" applyAlignment="1" applyProtection="1">
      <alignment/>
      <protection/>
    </xf>
    <xf numFmtId="164" fontId="0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0" fillId="0" borderId="10" xfId="0" applyNumberFormat="1" applyFont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top" wrapText="1"/>
    </xf>
    <xf numFmtId="167" fontId="3" fillId="0" borderId="0" xfId="0" applyNumberFormat="1" applyFont="1" applyAlignment="1">
      <alignment horizontal="right" vertical="top" wrapText="1"/>
    </xf>
    <xf numFmtId="167" fontId="0" fillId="0" borderId="0" xfId="0" applyNumberFormat="1" applyFont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 wrapText="1"/>
    </xf>
    <xf numFmtId="168" fontId="0" fillId="0" borderId="0" xfId="0" applyNumberFormat="1" applyFont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7" fontId="2" fillId="0" borderId="0" xfId="0" applyNumberFormat="1" applyFont="1" applyAlignment="1">
      <alignment horizontal="right" vertical="top"/>
    </xf>
    <xf numFmtId="167" fontId="5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 wrapText="1"/>
    </xf>
    <xf numFmtId="168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center" vertical="center"/>
    </xf>
    <xf numFmtId="164" fontId="0" fillId="6" borderId="0" xfId="0" applyNumberFormat="1" applyFont="1" applyFill="1" applyBorder="1" applyAlignment="1">
      <alignment horizontal="right" vertical="top"/>
    </xf>
    <xf numFmtId="16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164" fontId="0" fillId="6" borderId="0" xfId="0" applyNumberFormat="1" applyFont="1" applyFill="1" applyBorder="1" applyAlignment="1">
      <alignment horizontal="right" vertical="center"/>
    </xf>
    <xf numFmtId="170" fontId="0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172" fontId="2" fillId="0" borderId="0" xfId="0" applyNumberFormat="1" applyFont="1" applyAlignment="1">
      <alignment horizontal="right" vertical="top" wrapText="1"/>
    </xf>
    <xf numFmtId="49" fontId="0" fillId="0" borderId="13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right" vertical="top" wrapText="1"/>
    </xf>
    <xf numFmtId="167" fontId="2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left" vertical="top" wrapText="1"/>
    </xf>
    <xf numFmtId="167" fontId="0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right" vertical="top"/>
    </xf>
    <xf numFmtId="168" fontId="0" fillId="0" borderId="0" xfId="0" applyNumberFormat="1" applyFont="1" applyAlignment="1">
      <alignment horizontal="right" vertical="top"/>
    </xf>
    <xf numFmtId="49" fontId="2" fillId="6" borderId="0" xfId="0" applyNumberFormat="1" applyFont="1" applyFill="1" applyBorder="1" applyAlignment="1">
      <alignment horizontal="left" vertical="top"/>
    </xf>
    <xf numFmtId="164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2" fillId="6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right" vertical="top"/>
    </xf>
    <xf numFmtId="170" fontId="0" fillId="0" borderId="0" xfId="0" applyNumberFormat="1" applyFont="1" applyAlignment="1">
      <alignment horizontal="right" vertical="top"/>
    </xf>
    <xf numFmtId="49" fontId="0" fillId="0" borderId="0" xfId="0" applyNumberFormat="1" applyAlignment="1">
      <alignment horizontal="right" vertical="top" wrapText="1"/>
    </xf>
    <xf numFmtId="49" fontId="2" fillId="0" borderId="0" xfId="0" applyNumberFormat="1" applyFont="1" applyAlignment="1">
      <alignment horizontal="left" vertical="top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345"/>
  <sheetViews>
    <sheetView tabSelected="1" zoomScalePageLayoutView="0" workbookViewId="0" topLeftCell="A1">
      <selection activeCell="E337" sqref="E337"/>
    </sheetView>
  </sheetViews>
  <sheetFormatPr defaultColWidth="9.140625" defaultRowHeight="10.5"/>
  <cols>
    <col min="1" max="1" width="4.140625" style="1" customWidth="1"/>
    <col min="2" max="2" width="45.8515625" style="1" customWidth="1"/>
    <col min="3" max="3" width="11.7109375" style="1" customWidth="1"/>
    <col min="4" max="4" width="12.421875" style="1" customWidth="1"/>
    <col min="5" max="5" width="12.00390625" style="1" customWidth="1"/>
    <col min="6" max="6" width="17.7109375" style="1" customWidth="1"/>
    <col min="7" max="8" width="12.00390625" style="1" customWidth="1"/>
    <col min="9" max="9" width="9.00390625" style="1" customWidth="1"/>
    <col min="10" max="10" width="12.00390625" style="1" customWidth="1"/>
    <col min="11" max="12" width="9.140625" style="1" hidden="1" customWidth="1"/>
    <col min="13" max="13" width="9.140625" style="1" customWidth="1"/>
    <col min="14" max="14" width="9.140625" style="1" hidden="1" customWidth="1"/>
    <col min="15" max="17" width="9.140625" style="1" customWidth="1"/>
    <col min="18" max="18" width="9.140625" style="1" hidden="1" customWidth="1"/>
    <col min="19" max="16384" width="9.140625" style="1" customWidth="1"/>
  </cols>
  <sheetData>
    <row r="1" spans="1:10" ht="10.5">
      <c r="A1" s="2"/>
      <c r="D1" s="2"/>
      <c r="J1" s="3" t="s">
        <v>0</v>
      </c>
    </row>
    <row r="3" spans="1:9" ht="10.5">
      <c r="A3" s="45" t="s">
        <v>1</v>
      </c>
      <c r="B3" s="45"/>
      <c r="C3" s="45"/>
      <c r="D3" s="45"/>
      <c r="F3" s="45" t="s">
        <v>2</v>
      </c>
      <c r="G3" s="45"/>
      <c r="H3" s="45"/>
      <c r="I3" s="45"/>
    </row>
    <row r="4" spans="1:9" ht="10.5">
      <c r="A4" s="44" t="s">
        <v>3</v>
      </c>
      <c r="B4" s="44"/>
      <c r="C4" s="38">
        <f>F338</f>
        <v>94620.86355</v>
      </c>
      <c r="D4" s="5" t="s">
        <v>4</v>
      </c>
      <c r="F4" s="44" t="s">
        <v>3</v>
      </c>
      <c r="G4" s="44"/>
      <c r="H4" s="38">
        <f>F338</f>
        <v>94620.86355</v>
      </c>
      <c r="I4" s="5" t="s">
        <v>4</v>
      </c>
    </row>
    <row r="5" spans="1:9" ht="10.5">
      <c r="A5" s="43"/>
      <c r="B5" s="43"/>
      <c r="C5" s="43"/>
      <c r="D5" s="43"/>
      <c r="F5" s="43"/>
      <c r="G5" s="43"/>
      <c r="H5" s="43"/>
      <c r="I5" s="43"/>
    </row>
    <row r="6" spans="1:9" ht="9.75" customHeight="1">
      <c r="A6" s="57"/>
      <c r="B6" s="58"/>
      <c r="C6" s="58"/>
      <c r="D6" s="58"/>
      <c r="F6" s="57"/>
      <c r="G6" s="58"/>
      <c r="H6" s="58"/>
      <c r="I6" s="58"/>
    </row>
    <row r="7" spans="1:9" ht="13.5" customHeight="1">
      <c r="A7" s="59" t="s">
        <v>331</v>
      </c>
      <c r="B7" s="44"/>
      <c r="C7" s="44"/>
      <c r="D7" s="44"/>
      <c r="F7" s="60" t="s">
        <v>332</v>
      </c>
      <c r="G7" s="45"/>
      <c r="H7" s="45"/>
      <c r="I7" s="45"/>
    </row>
    <row r="8" spans="1:9" ht="10.5">
      <c r="A8" s="43"/>
      <c r="B8" s="43"/>
      <c r="C8" s="43"/>
      <c r="D8" s="43"/>
      <c r="F8" s="43"/>
      <c r="G8" s="43"/>
      <c r="H8" s="43"/>
      <c r="I8" s="43"/>
    </row>
    <row r="9" spans="1:9" ht="14.25" customHeight="1">
      <c r="A9" s="69" t="s">
        <v>333</v>
      </c>
      <c r="B9" s="44"/>
      <c r="C9" s="44"/>
      <c r="D9" s="44"/>
      <c r="F9" s="69" t="s">
        <v>333</v>
      </c>
      <c r="G9" s="44"/>
      <c r="H9" s="44"/>
      <c r="I9" s="44"/>
    </row>
    <row r="12" spans="2:3" ht="10.5">
      <c r="B12" s="6" t="s">
        <v>5</v>
      </c>
      <c r="C12" s="34" t="s">
        <v>335</v>
      </c>
    </row>
    <row r="13" spans="1:10" ht="10.5">
      <c r="A13" s="36" t="s">
        <v>334</v>
      </c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0.5">
      <c r="A14" s="37" t="s">
        <v>7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0.5">
      <c r="A15" s="37" t="s">
        <v>8</v>
      </c>
      <c r="B15" s="37"/>
      <c r="C15" s="37"/>
      <c r="D15" s="37"/>
      <c r="E15" s="37"/>
      <c r="F15" s="37"/>
      <c r="G15" s="37"/>
      <c r="H15" s="37"/>
      <c r="I15" s="37"/>
      <c r="J15" s="37"/>
    </row>
    <row r="16" spans="2:3" ht="10.5">
      <c r="B16" s="6" t="s">
        <v>9</v>
      </c>
      <c r="C16" s="7" t="s">
        <v>10</v>
      </c>
    </row>
    <row r="17" spans="7:10" ht="10.5">
      <c r="G17" s="6" t="s">
        <v>11</v>
      </c>
      <c r="H17" s="56" t="str">
        <f>TEXT((F325)/1000,"# ##0"&amp;GetSeparator()&amp;"000")</f>
        <v> 20,301</v>
      </c>
      <c r="I17" s="56"/>
      <c r="J17" s="9" t="s">
        <v>12</v>
      </c>
    </row>
    <row r="18" spans="7:10" ht="10.5">
      <c r="G18" s="6" t="s">
        <v>13</v>
      </c>
      <c r="H18" s="56" t="str">
        <f>TEXT((J335)/1000,"# ##0"&amp;GetSeparator()&amp;"000")</f>
        <v> 0,106</v>
      </c>
      <c r="I18" s="56"/>
      <c r="J18" s="9" t="s">
        <v>14</v>
      </c>
    </row>
    <row r="19" spans="7:10" ht="10.5">
      <c r="G19" s="6" t="s">
        <v>15</v>
      </c>
      <c r="H19" s="56" t="str">
        <f>TEXT((F332)/1000,"# ##0"&amp;GetSeparator()&amp;"000")</f>
        <v> 1,350</v>
      </c>
      <c r="I19" s="56"/>
      <c r="J19" s="9" t="s">
        <v>12</v>
      </c>
    </row>
    <row r="20" spans="7:10" ht="10.5">
      <c r="G20" s="6" t="s">
        <v>16</v>
      </c>
      <c r="H20" s="56" t="str">
        <f>TEXT((F338)/1000,"# ##0"&amp;GetSeparator()&amp;"000")</f>
        <v> 94,621</v>
      </c>
      <c r="I20" s="56"/>
      <c r="J20" s="9" t="s">
        <v>12</v>
      </c>
    </row>
    <row r="21" spans="1:10" ht="10.5">
      <c r="A21" s="55" t="s">
        <v>17</v>
      </c>
      <c r="B21" s="55"/>
      <c r="C21" s="55"/>
      <c r="D21" s="55"/>
      <c r="E21" s="55"/>
      <c r="F21" s="55"/>
      <c r="G21" s="55"/>
      <c r="H21" s="55"/>
      <c r="I21" s="55"/>
      <c r="J21" s="55"/>
    </row>
    <row r="22" ht="4.5" customHeight="1"/>
    <row r="23" spans="1:10" ht="33" customHeight="1">
      <c r="A23" s="51" t="s">
        <v>18</v>
      </c>
      <c r="B23" s="51" t="s">
        <v>19</v>
      </c>
      <c r="C23" s="51" t="s">
        <v>20</v>
      </c>
      <c r="D23" s="49" t="s">
        <v>21</v>
      </c>
      <c r="E23" s="50"/>
      <c r="F23" s="49" t="s">
        <v>22</v>
      </c>
      <c r="G23" s="54"/>
      <c r="H23" s="50"/>
      <c r="I23" s="49" t="s">
        <v>23</v>
      </c>
      <c r="J23" s="50"/>
    </row>
    <row r="24" spans="1:10" ht="10.5" customHeight="1">
      <c r="A24" s="52"/>
      <c r="B24" s="52"/>
      <c r="C24" s="52"/>
      <c r="D24" s="10" t="s">
        <v>24</v>
      </c>
      <c r="E24" s="10" t="s">
        <v>25</v>
      </c>
      <c r="F24" s="51" t="s">
        <v>24</v>
      </c>
      <c r="G24" s="51" t="s">
        <v>26</v>
      </c>
      <c r="H24" s="10" t="s">
        <v>25</v>
      </c>
      <c r="I24" s="49" t="s">
        <v>27</v>
      </c>
      <c r="J24" s="50"/>
    </row>
    <row r="25" spans="1:10" ht="21.75" customHeight="1">
      <c r="A25" s="53"/>
      <c r="B25" s="53"/>
      <c r="C25" s="53"/>
      <c r="D25" s="10" t="s">
        <v>26</v>
      </c>
      <c r="E25" s="10" t="s">
        <v>28</v>
      </c>
      <c r="F25" s="53"/>
      <c r="G25" s="53"/>
      <c r="H25" s="10" t="s">
        <v>28</v>
      </c>
      <c r="I25" s="10" t="s">
        <v>29</v>
      </c>
      <c r="J25" s="10" t="s">
        <v>24</v>
      </c>
    </row>
    <row r="26" spans="1:10" ht="10.5">
      <c r="A26" s="11">
        <v>1</v>
      </c>
      <c r="B26" s="11">
        <v>2</v>
      </c>
      <c r="C26" s="11">
        <v>3</v>
      </c>
      <c r="D26" s="11">
        <v>4</v>
      </c>
      <c r="E26" s="11">
        <v>5</v>
      </c>
      <c r="F26" s="11">
        <v>6</v>
      </c>
      <c r="G26" s="11">
        <v>7</v>
      </c>
      <c r="H26" s="11">
        <v>8</v>
      </c>
      <c r="I26" s="11">
        <v>9</v>
      </c>
      <c r="J26" s="11">
        <v>10</v>
      </c>
    </row>
    <row r="27" spans="1:14" ht="10.5">
      <c r="A27" s="44" t="s">
        <v>30</v>
      </c>
      <c r="B27" s="45" t="s">
        <v>31</v>
      </c>
      <c r="C27" s="43">
        <v>0.008</v>
      </c>
      <c r="D27" s="12">
        <f>'Базовые цены за единицу'!B6</f>
        <v>6467.75</v>
      </c>
      <c r="E27" s="12">
        <f>'Базовые цены за единицу'!D6</f>
        <v>6317.85</v>
      </c>
      <c r="F27" s="46">
        <f>'Базовые цены с учетом расхода'!B6</f>
        <v>51.74</v>
      </c>
      <c r="G27" s="46">
        <f>'Базовые цены с учетом расхода'!C6</f>
        <v>1.2</v>
      </c>
      <c r="H27" s="12">
        <f>'Базовые цены с учетом расхода'!D6</f>
        <v>50.54</v>
      </c>
      <c r="I27" s="14">
        <v>15.203</v>
      </c>
      <c r="J27" s="14">
        <f>'Базовые цены с учетом расхода'!I6</f>
        <v>0.121624</v>
      </c>
      <c r="K27" s="1" t="s">
        <v>32</v>
      </c>
      <c r="L27" s="1" t="s">
        <v>33</v>
      </c>
      <c r="N27" s="46">
        <f>'Базовые цены с учетом расхода'!F6</f>
        <v>0</v>
      </c>
    </row>
    <row r="28" spans="1:14" ht="54.75" customHeight="1">
      <c r="A28" s="43"/>
      <c r="B28" s="45"/>
      <c r="C28" s="43"/>
      <c r="D28" s="13">
        <f>'Базовые цены за единицу'!C6</f>
        <v>149.9</v>
      </c>
      <c r="E28" s="13">
        <f>'Базовые цены за единицу'!E6</f>
        <v>708.15</v>
      </c>
      <c r="F28" s="46"/>
      <c r="G28" s="46"/>
      <c r="H28" s="13">
        <f>'Базовые цены с учетом расхода'!E6</f>
        <v>5.67</v>
      </c>
      <c r="I28" s="1">
        <v>43.365</v>
      </c>
      <c r="J28" s="1">
        <f>'Базовые цены с учетом расхода'!K6</f>
        <v>0.34692</v>
      </c>
      <c r="K28" s="1" t="s">
        <v>34</v>
      </c>
      <c r="L28" s="1" t="s">
        <v>35</v>
      </c>
      <c r="N28" s="46"/>
    </row>
    <row r="29" ht="10.5">
      <c r="B29" s="15" t="s">
        <v>336</v>
      </c>
    </row>
    <row r="30" spans="2:6" ht="10.5" hidden="1">
      <c r="B30" s="16" t="s">
        <v>36</v>
      </c>
      <c r="F30" s="1">
        <v>1.2</v>
      </c>
    </row>
    <row r="31" spans="2:6" ht="10.5" hidden="1">
      <c r="B31" s="16" t="s">
        <v>37</v>
      </c>
      <c r="F31" s="1">
        <v>50.54</v>
      </c>
    </row>
    <row r="32" spans="2:6" ht="10.5" hidden="1">
      <c r="B32" s="16" t="s">
        <v>38</v>
      </c>
      <c r="F32" s="1">
        <v>5.67</v>
      </c>
    </row>
    <row r="33" ht="10.5" hidden="1">
      <c r="B33" s="16" t="s">
        <v>39</v>
      </c>
    </row>
    <row r="34" ht="21" hidden="1">
      <c r="B34" s="16" t="s">
        <v>40</v>
      </c>
    </row>
    <row r="35" ht="21" hidden="1">
      <c r="B35" s="16" t="s">
        <v>41</v>
      </c>
    </row>
    <row r="36" ht="10.5" hidden="1">
      <c r="B36" s="16" t="s">
        <v>42</v>
      </c>
    </row>
    <row r="37" ht="21" hidden="1">
      <c r="B37" s="16" t="s">
        <v>43</v>
      </c>
    </row>
    <row r="38" ht="10.5" hidden="1">
      <c r="B38" s="16" t="s">
        <v>44</v>
      </c>
    </row>
    <row r="39" spans="2:12" ht="10.5" hidden="1">
      <c r="B39" s="16" t="s">
        <v>45</v>
      </c>
      <c r="C39" s="1">
        <v>95</v>
      </c>
      <c r="F39" s="17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6.53</v>
      </c>
      <c r="L39" s="4" t="s">
        <v>46</v>
      </c>
    </row>
    <row r="40" spans="2:12" ht="10.5" hidden="1">
      <c r="B40" s="16" t="s">
        <v>47</v>
      </c>
      <c r="C40" s="1">
        <v>95</v>
      </c>
      <c r="F40" s="17">
        <f>IF('Базовые цены с учетом расхода'!P6&gt;0,'Базовые цены с учетом расхода'!P6,IF('Базовые цены с учетом расхода'!P6&lt;0,'Базовые цены с учетом расхода'!P6,""))</f>
        <v>1.14</v>
      </c>
      <c r="L40" s="4" t="s">
        <v>48</v>
      </c>
    </row>
    <row r="41" spans="2:12" ht="10.5" hidden="1">
      <c r="B41" s="16" t="s">
        <v>49</v>
      </c>
      <c r="C41" s="1">
        <v>95</v>
      </c>
      <c r="F41" s="17">
        <f>IF('Базовые цены с учетом расхода'!Q6&gt;0,'Базовые цены с учетом расхода'!Q6,IF('Базовые цены с учетом расхода'!Q6&lt;0,'Базовые цены с учетом расхода'!Q6,""))</f>
        <v>5.38</v>
      </c>
      <c r="L41" s="4" t="s">
        <v>50</v>
      </c>
    </row>
    <row r="42" spans="2:12" ht="10.5" hidden="1">
      <c r="B42" s="16" t="s">
        <v>51</v>
      </c>
      <c r="C42" s="1">
        <v>43</v>
      </c>
      <c r="F42" s="17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2.95</v>
      </c>
      <c r="L42" s="4" t="s">
        <v>52</v>
      </c>
    </row>
    <row r="43" spans="2:12" ht="10.5" hidden="1">
      <c r="B43" s="16" t="s">
        <v>53</v>
      </c>
      <c r="C43" s="1">
        <v>43</v>
      </c>
      <c r="F43" s="17">
        <f>IF('Базовые цены с учетом расхода'!R6&gt;0,'Базовые цены с учетом расхода'!R6,IF('Базовые цены с учетом расхода'!R6&lt;0,'Базовые цены с учетом расхода'!R6,""))</f>
        <v>0.52</v>
      </c>
      <c r="L43" s="4" t="s">
        <v>54</v>
      </c>
    </row>
    <row r="44" spans="2:12" ht="10.5" hidden="1">
      <c r="B44" s="16" t="s">
        <v>55</v>
      </c>
      <c r="C44" s="1">
        <v>43</v>
      </c>
      <c r="F44" s="17">
        <f>IF('Базовые цены с учетом расхода'!S6&gt;0,'Базовые цены с учетом расхода'!S6,IF('Базовые цены с учетом расхода'!S6&lt;0,'Базовые цены с учетом расхода'!S6,""))</f>
        <v>2.44</v>
      </c>
      <c r="L44" s="4" t="s">
        <v>56</v>
      </c>
    </row>
    <row r="45" spans="1:10" ht="10.5">
      <c r="A45" s="18"/>
      <c r="B45" s="18"/>
      <c r="C45" s="18"/>
      <c r="D45" s="18"/>
      <c r="E45" s="18"/>
      <c r="F45" s="18"/>
      <c r="G45" s="18"/>
      <c r="H45" s="18"/>
      <c r="I45" s="18"/>
      <c r="J45" s="18"/>
    </row>
    <row r="46" spans="1:14" ht="10.5">
      <c r="A46" s="44" t="s">
        <v>57</v>
      </c>
      <c r="B46" s="45" t="s">
        <v>58</v>
      </c>
      <c r="C46" s="43">
        <v>0.02</v>
      </c>
      <c r="D46" s="12">
        <f>'Базовые цены за единицу'!B7</f>
        <v>3374.49</v>
      </c>
      <c r="E46" s="12">
        <f>'Базовые цены за единицу'!D7</f>
        <v>0</v>
      </c>
      <c r="F46" s="46">
        <f>'Базовые цены с учетом расхода'!B7</f>
        <v>67.49</v>
      </c>
      <c r="G46" s="46">
        <f>'Базовые цены с учетом расхода'!C7</f>
        <v>67.49</v>
      </c>
      <c r="H46" s="12">
        <f>'Базовые цены с учетом расхода'!D7</f>
        <v>0</v>
      </c>
      <c r="I46" s="14">
        <v>342.24</v>
      </c>
      <c r="J46" s="14">
        <f>'Базовые цены с учетом расхода'!I7</f>
        <v>6.8448</v>
      </c>
      <c r="K46" s="1" t="s">
        <v>32</v>
      </c>
      <c r="L46" s="1" t="s">
        <v>33</v>
      </c>
      <c r="N46" s="46">
        <f>'Базовые цены с учетом расхода'!F7</f>
        <v>0</v>
      </c>
    </row>
    <row r="47" spans="1:14" ht="43.5" customHeight="1">
      <c r="A47" s="43"/>
      <c r="B47" s="45"/>
      <c r="C47" s="43"/>
      <c r="D47" s="13">
        <f>'Базовые цены за единицу'!C7</f>
        <v>3374.49</v>
      </c>
      <c r="E47" s="13">
        <f>'Базовые цены за единицу'!E7</f>
        <v>0</v>
      </c>
      <c r="F47" s="46"/>
      <c r="G47" s="46"/>
      <c r="H47" s="13">
        <f>'Базовые цены с учетом расхода'!E7</f>
        <v>0</v>
      </c>
      <c r="J47" s="1">
        <f>'Базовые цены с учетом расхода'!K7</f>
        <v>0</v>
      </c>
      <c r="K47" s="1" t="s">
        <v>34</v>
      </c>
      <c r="L47" s="1" t="s">
        <v>35</v>
      </c>
      <c r="N47" s="46"/>
    </row>
    <row r="48" ht="10.5">
      <c r="B48" s="15" t="s">
        <v>337</v>
      </c>
    </row>
    <row r="49" spans="2:6" ht="10.5" hidden="1">
      <c r="B49" s="16" t="s">
        <v>36</v>
      </c>
      <c r="F49" s="1">
        <v>67.49</v>
      </c>
    </row>
    <row r="50" ht="10.5" hidden="1">
      <c r="B50" s="16" t="s">
        <v>37</v>
      </c>
    </row>
    <row r="51" ht="10.5" hidden="1">
      <c r="B51" s="16" t="s">
        <v>38</v>
      </c>
    </row>
    <row r="52" ht="10.5" hidden="1">
      <c r="B52" s="16" t="s">
        <v>39</v>
      </c>
    </row>
    <row r="53" ht="21" hidden="1">
      <c r="B53" s="16" t="s">
        <v>40</v>
      </c>
    </row>
    <row r="54" ht="21" hidden="1">
      <c r="B54" s="16" t="s">
        <v>41</v>
      </c>
    </row>
    <row r="55" ht="10.5" hidden="1">
      <c r="B55" s="16" t="s">
        <v>42</v>
      </c>
    </row>
    <row r="56" ht="21" hidden="1">
      <c r="B56" s="16" t="s">
        <v>43</v>
      </c>
    </row>
    <row r="57" ht="10.5" hidden="1">
      <c r="B57" s="16" t="s">
        <v>44</v>
      </c>
    </row>
    <row r="58" spans="2:12" ht="10.5" hidden="1">
      <c r="B58" s="16" t="s">
        <v>45</v>
      </c>
      <c r="C58" s="1">
        <v>80</v>
      </c>
      <c r="F58" s="17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53.99</v>
      </c>
      <c r="L58" s="4" t="s">
        <v>46</v>
      </c>
    </row>
    <row r="59" spans="2:12" ht="10.5" hidden="1">
      <c r="B59" s="16" t="s">
        <v>47</v>
      </c>
      <c r="C59" s="1">
        <v>80</v>
      </c>
      <c r="F59" s="17">
        <f>IF('Базовые цены с учетом расхода'!P7&gt;0,'Базовые цены с учетом расхода'!P7,IF('Базовые цены с учетом расхода'!P7&lt;0,'Базовые цены с учетом расхода'!P7,""))</f>
        <v>53.99</v>
      </c>
      <c r="L59" s="4" t="s">
        <v>48</v>
      </c>
    </row>
    <row r="60" spans="2:12" ht="10.5" hidden="1">
      <c r="B60" s="16" t="s">
        <v>49</v>
      </c>
      <c r="C60" s="1">
        <v>80</v>
      </c>
      <c r="F60" s="17">
        <f>IF('Базовые цены с учетом расхода'!Q7&gt;0,'Базовые цены с учетом расхода'!Q7,IF('Базовые цены с учетом расхода'!Q7&lt;0,'Базовые цены с учетом расхода'!Q7,""))</f>
      </c>
      <c r="L60" s="4" t="s">
        <v>50</v>
      </c>
    </row>
    <row r="61" spans="2:12" ht="10.5" hidden="1">
      <c r="B61" s="16" t="s">
        <v>51</v>
      </c>
      <c r="C61" s="1">
        <v>38</v>
      </c>
      <c r="F61" s="17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25.65</v>
      </c>
      <c r="L61" s="4" t="s">
        <v>52</v>
      </c>
    </row>
    <row r="62" spans="2:12" ht="10.5" hidden="1">
      <c r="B62" s="16" t="s">
        <v>53</v>
      </c>
      <c r="C62" s="1">
        <v>38</v>
      </c>
      <c r="F62" s="17">
        <f>IF('Базовые цены с учетом расхода'!R7&gt;0,'Базовые цены с учетом расхода'!R7,IF('Базовые цены с учетом расхода'!R7&lt;0,'Базовые цены с учетом расхода'!R7,""))</f>
        <v>25.65</v>
      </c>
      <c r="L62" s="4" t="s">
        <v>54</v>
      </c>
    </row>
    <row r="63" spans="2:12" ht="10.5" hidden="1">
      <c r="B63" s="16" t="s">
        <v>55</v>
      </c>
      <c r="C63" s="1">
        <v>38</v>
      </c>
      <c r="F63" s="17">
        <f>IF('Базовые цены с учетом расхода'!S7&gt;0,'Базовые цены с учетом расхода'!S7,IF('Базовые цены с учетом расхода'!S7&lt;0,'Базовые цены с учетом расхода'!S7,""))</f>
      </c>
      <c r="L63" s="4" t="s">
        <v>56</v>
      </c>
    </row>
    <row r="64" spans="1:10" ht="10.5">
      <c r="A64" s="18"/>
      <c r="B64" s="18"/>
      <c r="C64" s="18"/>
      <c r="D64" s="18"/>
      <c r="E64" s="18"/>
      <c r="F64" s="18"/>
      <c r="G64" s="18"/>
      <c r="H64" s="18"/>
      <c r="I64" s="18"/>
      <c r="J64" s="18"/>
    </row>
    <row r="65" spans="1:14" ht="10.5">
      <c r="A65" s="44" t="s">
        <v>59</v>
      </c>
      <c r="B65" s="45" t="s">
        <v>60</v>
      </c>
      <c r="C65" s="43">
        <v>2</v>
      </c>
      <c r="D65" s="12">
        <f>'Базовые цены за единицу'!B8</f>
        <v>61.41</v>
      </c>
      <c r="E65" s="12">
        <f>'Базовые цены за единицу'!D8</f>
        <v>50</v>
      </c>
      <c r="F65" s="46">
        <f>'Базовые цены с учетом расхода'!B8</f>
        <v>122.82</v>
      </c>
      <c r="G65" s="46">
        <f>'Базовые цены с учетом расхода'!C8</f>
        <v>22.82</v>
      </c>
      <c r="H65" s="12">
        <f>'Базовые цены с учетом расхода'!D8</f>
        <v>100</v>
      </c>
      <c r="I65" s="14">
        <v>0.95872</v>
      </c>
      <c r="J65" s="14">
        <f>'Базовые цены с учетом расхода'!I8</f>
        <v>1.91744</v>
      </c>
      <c r="K65" s="1" t="s">
        <v>32</v>
      </c>
      <c r="L65" s="1" t="s">
        <v>33</v>
      </c>
      <c r="N65" s="46">
        <f>'Базовые цены с учетом расхода'!F8</f>
        <v>0</v>
      </c>
    </row>
    <row r="66" spans="1:14" ht="21.75" customHeight="1">
      <c r="A66" s="43"/>
      <c r="B66" s="45"/>
      <c r="C66" s="43"/>
      <c r="D66" s="13">
        <f>'Базовые цены за единицу'!C8</f>
        <v>11.41</v>
      </c>
      <c r="E66" s="13">
        <f>'Базовые цены за единицу'!E8</f>
        <v>7.61</v>
      </c>
      <c r="F66" s="46"/>
      <c r="G66" s="46"/>
      <c r="H66" s="13">
        <f>'Базовые цены с учетом расхода'!E8</f>
        <v>15.22</v>
      </c>
      <c r="I66" s="1">
        <v>0.46608</v>
      </c>
      <c r="J66" s="1">
        <f>'Базовые цены с учетом расхода'!K8</f>
        <v>0.93216</v>
      </c>
      <c r="K66" s="1" t="s">
        <v>34</v>
      </c>
      <c r="L66" s="1" t="s">
        <v>35</v>
      </c>
      <c r="N66" s="46"/>
    </row>
    <row r="67" ht="10.5">
      <c r="B67" s="15" t="s">
        <v>338</v>
      </c>
    </row>
    <row r="68" spans="2:6" ht="10.5" hidden="1">
      <c r="B68" s="16" t="s">
        <v>36</v>
      </c>
      <c r="F68" s="1">
        <v>22.82</v>
      </c>
    </row>
    <row r="69" spans="2:6" ht="10.5" hidden="1">
      <c r="B69" s="16" t="s">
        <v>37</v>
      </c>
      <c r="F69" s="1">
        <v>100</v>
      </c>
    </row>
    <row r="70" spans="2:6" ht="10.5" hidden="1">
      <c r="B70" s="16" t="s">
        <v>38</v>
      </c>
      <c r="F70" s="1">
        <v>15.22</v>
      </c>
    </row>
    <row r="71" ht="10.5" hidden="1">
      <c r="B71" s="16" t="s">
        <v>39</v>
      </c>
    </row>
    <row r="72" ht="21" hidden="1">
      <c r="B72" s="16" t="s">
        <v>40</v>
      </c>
    </row>
    <row r="73" ht="21" hidden="1">
      <c r="B73" s="16" t="s">
        <v>41</v>
      </c>
    </row>
    <row r="74" ht="10.5" hidden="1">
      <c r="B74" s="16" t="s">
        <v>42</v>
      </c>
    </row>
    <row r="75" ht="21" hidden="1">
      <c r="B75" s="16" t="s">
        <v>43</v>
      </c>
    </row>
    <row r="76" ht="10.5" hidden="1">
      <c r="B76" s="16" t="s">
        <v>44</v>
      </c>
    </row>
    <row r="77" spans="2:12" ht="10.5" hidden="1">
      <c r="B77" s="16" t="s">
        <v>45</v>
      </c>
      <c r="C77" s="1">
        <v>117</v>
      </c>
      <c r="F77" s="17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44.51</v>
      </c>
      <c r="L77" s="4" t="s">
        <v>46</v>
      </c>
    </row>
    <row r="78" spans="2:12" ht="10.5" hidden="1">
      <c r="B78" s="16" t="s">
        <v>47</v>
      </c>
      <c r="C78" s="1">
        <v>117</v>
      </c>
      <c r="F78" s="17">
        <f>IF('Базовые цены с учетом расхода'!P8&gt;0,'Базовые цены с учетом расхода'!P8,IF('Базовые цены с учетом расхода'!P8&lt;0,'Базовые цены с учетом расхода'!P8,""))</f>
        <v>26.7</v>
      </c>
      <c r="L78" s="4" t="s">
        <v>48</v>
      </c>
    </row>
    <row r="79" spans="2:12" ht="10.5" hidden="1">
      <c r="B79" s="16" t="s">
        <v>49</v>
      </c>
      <c r="C79" s="1">
        <v>117</v>
      </c>
      <c r="F79" s="17">
        <f>IF('Базовые цены с учетом расхода'!Q8&gt;0,'Базовые цены с учетом расхода'!Q8,IF('Базовые цены с учетом расхода'!Q8&lt;0,'Базовые цены с учетом расхода'!Q8,""))</f>
        <v>17.81</v>
      </c>
      <c r="L79" s="4" t="s">
        <v>50</v>
      </c>
    </row>
    <row r="80" spans="2:12" ht="10.5" hidden="1">
      <c r="B80" s="16" t="s">
        <v>51</v>
      </c>
      <c r="C80" s="1">
        <v>72</v>
      </c>
      <c r="F80" s="17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27.39</v>
      </c>
      <c r="L80" s="4" t="s">
        <v>52</v>
      </c>
    </row>
    <row r="81" spans="2:12" ht="10.5" hidden="1">
      <c r="B81" s="16" t="s">
        <v>53</v>
      </c>
      <c r="C81" s="1">
        <v>72</v>
      </c>
      <c r="F81" s="17">
        <f>IF('Базовые цены с учетом расхода'!R8&gt;0,'Базовые цены с учетом расхода'!R8,IF('Базовые цены с учетом расхода'!R8&lt;0,'Базовые цены с учетом расхода'!R8,""))</f>
        <v>16.43</v>
      </c>
      <c r="L81" s="4" t="s">
        <v>54</v>
      </c>
    </row>
    <row r="82" spans="2:12" ht="10.5" hidden="1">
      <c r="B82" s="16" t="s">
        <v>55</v>
      </c>
      <c r="C82" s="1">
        <v>72</v>
      </c>
      <c r="F82" s="17">
        <f>IF('Базовые цены с учетом расхода'!S8&gt;0,'Базовые цены с учетом расхода'!S8,IF('Базовые цены с учетом расхода'!S8&lt;0,'Базовые цены с учетом расхода'!S8,""))</f>
        <v>10.96</v>
      </c>
      <c r="L82" s="4" t="s">
        <v>56</v>
      </c>
    </row>
    <row r="83" spans="1:10" ht="10.5">
      <c r="A83" s="18"/>
      <c r="B83" s="18"/>
      <c r="C83" s="18"/>
      <c r="D83" s="18"/>
      <c r="E83" s="18"/>
      <c r="F83" s="18"/>
      <c r="G83" s="18"/>
      <c r="H83" s="18"/>
      <c r="I83" s="18"/>
      <c r="J83" s="18"/>
    </row>
    <row r="84" spans="1:14" ht="10.5">
      <c r="A84" s="44" t="s">
        <v>61</v>
      </c>
      <c r="B84" s="45" t="s">
        <v>62</v>
      </c>
      <c r="C84" s="43">
        <v>0.2</v>
      </c>
      <c r="D84" s="12">
        <f>'Базовые цены за единицу'!B9</f>
        <v>2584.94</v>
      </c>
      <c r="E84" s="12">
        <f>'Базовые цены за единицу'!D9</f>
        <v>2584.94</v>
      </c>
      <c r="F84" s="46">
        <f>'Базовые цены с учетом расхода'!B9</f>
        <v>516.99</v>
      </c>
      <c r="G84" s="46">
        <f>'Базовые цены с учетом расхода'!C9</f>
        <v>0</v>
      </c>
      <c r="H84" s="12">
        <f>'Базовые цены с учетом расхода'!D9</f>
        <v>516.99</v>
      </c>
      <c r="I84" s="14"/>
      <c r="J84" s="14">
        <f>'Базовые цены с учетом расхода'!I9</f>
        <v>0</v>
      </c>
      <c r="K84" s="1" t="s">
        <v>32</v>
      </c>
      <c r="L84" s="1" t="s">
        <v>33</v>
      </c>
      <c r="N84" s="46">
        <f>'Базовые цены с учетом расхода'!F9</f>
        <v>0</v>
      </c>
    </row>
    <row r="85" spans="1:14" ht="21.75" customHeight="1">
      <c r="A85" s="43"/>
      <c r="B85" s="45"/>
      <c r="C85" s="43"/>
      <c r="D85" s="13">
        <f>'Базовые цены за единицу'!C9</f>
        <v>0</v>
      </c>
      <c r="E85" s="13">
        <f>'Базовые цены за единицу'!E9</f>
        <v>1480.26</v>
      </c>
      <c r="F85" s="46"/>
      <c r="G85" s="46"/>
      <c r="H85" s="13">
        <f>'Базовые цены с учетом расхода'!E9</f>
        <v>296.05</v>
      </c>
      <c r="I85" s="1">
        <v>121.51425</v>
      </c>
      <c r="J85" s="1">
        <f>'Базовые цены с учетом расхода'!K9</f>
        <v>24.30285</v>
      </c>
      <c r="K85" s="1" t="s">
        <v>34</v>
      </c>
      <c r="L85" s="1" t="s">
        <v>35</v>
      </c>
      <c r="N85" s="46"/>
    </row>
    <row r="86" ht="10.5">
      <c r="B86" s="15" t="s">
        <v>339</v>
      </c>
    </row>
    <row r="87" ht="10.5" hidden="1">
      <c r="B87" s="16" t="s">
        <v>36</v>
      </c>
    </row>
    <row r="88" spans="2:6" ht="10.5" hidden="1">
      <c r="B88" s="16" t="s">
        <v>37</v>
      </c>
      <c r="F88" s="1">
        <v>516.99</v>
      </c>
    </row>
    <row r="89" spans="2:6" ht="10.5" hidden="1">
      <c r="B89" s="16" t="s">
        <v>38</v>
      </c>
      <c r="F89" s="1">
        <v>296.05</v>
      </c>
    </row>
    <row r="90" ht="10.5" hidden="1">
      <c r="B90" s="16" t="s">
        <v>39</v>
      </c>
    </row>
    <row r="91" ht="21" hidden="1">
      <c r="B91" s="16" t="s">
        <v>40</v>
      </c>
    </row>
    <row r="92" ht="21" hidden="1">
      <c r="B92" s="16" t="s">
        <v>41</v>
      </c>
    </row>
    <row r="93" ht="10.5" hidden="1">
      <c r="B93" s="16" t="s">
        <v>42</v>
      </c>
    </row>
    <row r="94" ht="21" hidden="1">
      <c r="B94" s="16" t="s">
        <v>43</v>
      </c>
    </row>
    <row r="95" ht="10.5" hidden="1">
      <c r="B95" s="16" t="s">
        <v>44</v>
      </c>
    </row>
    <row r="96" spans="2:12" ht="10.5" hidden="1">
      <c r="B96" s="16" t="s">
        <v>45</v>
      </c>
      <c r="C96" s="1">
        <v>80</v>
      </c>
      <c r="F96" s="17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236.84</v>
      </c>
      <c r="L96" s="4" t="s">
        <v>46</v>
      </c>
    </row>
    <row r="97" spans="2:12" ht="10.5" hidden="1">
      <c r="B97" s="16" t="s">
        <v>47</v>
      </c>
      <c r="C97" s="1">
        <v>80</v>
      </c>
      <c r="F97" s="17">
        <f>IF('Базовые цены с учетом расхода'!P9&gt;0,'Базовые цены с учетом расхода'!P9,IF('Базовые цены с учетом расхода'!P9&lt;0,'Базовые цены с учетом расхода'!P9,""))</f>
      </c>
      <c r="L97" s="4" t="s">
        <v>48</v>
      </c>
    </row>
    <row r="98" spans="2:12" ht="10.5" hidden="1">
      <c r="B98" s="16" t="s">
        <v>49</v>
      </c>
      <c r="C98" s="1">
        <v>80</v>
      </c>
      <c r="F98" s="17">
        <f>IF('Базовые цены с учетом расхода'!Q9&gt;0,'Базовые цены с учетом расхода'!Q9,IF('Базовые цены с учетом расхода'!Q9&lt;0,'Базовые цены с учетом расхода'!Q9,""))</f>
        <v>236.84</v>
      </c>
      <c r="L98" s="4" t="s">
        <v>50</v>
      </c>
    </row>
    <row r="99" spans="2:12" ht="10.5" hidden="1">
      <c r="B99" s="16" t="s">
        <v>51</v>
      </c>
      <c r="C99" s="1">
        <v>38</v>
      </c>
      <c r="F99" s="17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112.5</v>
      </c>
      <c r="L99" s="4" t="s">
        <v>52</v>
      </c>
    </row>
    <row r="100" spans="2:12" ht="10.5" hidden="1">
      <c r="B100" s="16" t="s">
        <v>53</v>
      </c>
      <c r="C100" s="1">
        <v>38</v>
      </c>
      <c r="F100" s="17">
        <f>IF('Базовые цены с учетом расхода'!R9&gt;0,'Базовые цены с учетом расхода'!R9,IF('Базовые цены с учетом расхода'!R9&lt;0,'Базовые цены с учетом расхода'!R9,""))</f>
      </c>
      <c r="L100" s="4" t="s">
        <v>54</v>
      </c>
    </row>
    <row r="101" spans="2:12" ht="10.5" hidden="1">
      <c r="B101" s="16" t="s">
        <v>55</v>
      </c>
      <c r="C101" s="1">
        <v>38</v>
      </c>
      <c r="F101" s="17">
        <f>IF('Базовые цены с учетом расхода'!S9&gt;0,'Базовые цены с учетом расхода'!S9,IF('Базовые цены с учетом расхода'!S9&lt;0,'Базовые цены с учетом расхода'!S9,""))</f>
        <v>112.5</v>
      </c>
      <c r="L101" s="4" t="s">
        <v>56</v>
      </c>
    </row>
    <row r="102" spans="1:10" ht="10.5">
      <c r="A102" s="18"/>
      <c r="B102" s="18"/>
      <c r="C102" s="18"/>
      <c r="D102" s="18"/>
      <c r="E102" s="18"/>
      <c r="F102" s="18"/>
      <c r="G102" s="18"/>
      <c r="H102" s="18"/>
      <c r="I102" s="18"/>
      <c r="J102" s="18"/>
    </row>
    <row r="103" spans="1:14" ht="10.5">
      <c r="A103" s="44" t="s">
        <v>63</v>
      </c>
      <c r="B103" s="45" t="s">
        <v>64</v>
      </c>
      <c r="C103" s="43">
        <v>2</v>
      </c>
      <c r="D103" s="12">
        <f>'Базовые цены за единицу'!B10</f>
        <v>327.73</v>
      </c>
      <c r="E103" s="12">
        <f>'Базовые цены за единицу'!D10</f>
        <v>252.16</v>
      </c>
      <c r="F103" s="46">
        <f>'Базовые цены с учетом расхода'!B10</f>
        <v>655.46</v>
      </c>
      <c r="G103" s="46">
        <f>'Базовые цены с учетом расхода'!C10</f>
        <v>142.82</v>
      </c>
      <c r="H103" s="12">
        <f>'Базовые цены с учетом расхода'!D10</f>
        <v>504.32</v>
      </c>
      <c r="I103" s="14">
        <v>6.68</v>
      </c>
      <c r="J103" s="14">
        <f>'Базовые цены с учетом расхода'!I10</f>
        <v>13.36</v>
      </c>
      <c r="K103" s="1" t="s">
        <v>32</v>
      </c>
      <c r="L103" s="1" t="s">
        <v>33</v>
      </c>
      <c r="N103" s="46">
        <f>'Базовые цены с учетом расхода'!F10</f>
        <v>8.32</v>
      </c>
    </row>
    <row r="104" spans="1:14" ht="33" customHeight="1">
      <c r="A104" s="43"/>
      <c r="B104" s="45"/>
      <c r="C104" s="43"/>
      <c r="D104" s="13">
        <f>'Базовые цены за единицу'!C10</f>
        <v>71.41</v>
      </c>
      <c r="E104" s="13">
        <f>'Базовые цены за единицу'!E10</f>
        <v>28.25</v>
      </c>
      <c r="F104" s="46"/>
      <c r="G104" s="46"/>
      <c r="H104" s="13">
        <f>'Базовые цены с учетом расхода'!E10</f>
        <v>56.5</v>
      </c>
      <c r="I104" s="1">
        <v>1.73</v>
      </c>
      <c r="J104" s="1">
        <f>'Базовые цены с учетом расхода'!K10</f>
        <v>3.46</v>
      </c>
      <c r="K104" s="1" t="s">
        <v>34</v>
      </c>
      <c r="L104" s="1" t="s">
        <v>35</v>
      </c>
      <c r="N104" s="46"/>
    </row>
    <row r="105" spans="2:6" ht="10.5" hidden="1">
      <c r="B105" s="16" t="s">
        <v>36</v>
      </c>
      <c r="F105" s="1">
        <v>142.82</v>
      </c>
    </row>
    <row r="106" spans="2:6" ht="10.5" hidden="1">
      <c r="B106" s="16" t="s">
        <v>37</v>
      </c>
      <c r="F106" s="1">
        <v>504.32</v>
      </c>
    </row>
    <row r="107" spans="2:6" ht="10.5" hidden="1">
      <c r="B107" s="16" t="s">
        <v>38</v>
      </c>
      <c r="F107" s="1">
        <v>56.5</v>
      </c>
    </row>
    <row r="108" spans="2:6" ht="10.5" hidden="1">
      <c r="B108" s="16" t="s">
        <v>39</v>
      </c>
      <c r="F108" s="1">
        <v>8.32</v>
      </c>
    </row>
    <row r="109" ht="21" hidden="1">
      <c r="B109" s="16" t="s">
        <v>40</v>
      </c>
    </row>
    <row r="110" ht="21" hidden="1">
      <c r="B110" s="16" t="s">
        <v>41</v>
      </c>
    </row>
    <row r="111" ht="10.5" hidden="1">
      <c r="B111" s="16" t="s">
        <v>42</v>
      </c>
    </row>
    <row r="112" ht="21" hidden="1">
      <c r="B112" s="16" t="s">
        <v>43</v>
      </c>
    </row>
    <row r="113" ht="10.5" hidden="1">
      <c r="B113" s="16" t="s">
        <v>44</v>
      </c>
    </row>
    <row r="114" spans="2:12" ht="10.5" hidden="1">
      <c r="B114" s="16" t="s">
        <v>45</v>
      </c>
      <c r="C114" s="1">
        <v>108</v>
      </c>
      <c r="F114" s="17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215.27</v>
      </c>
      <c r="L114" s="4" t="s">
        <v>46</v>
      </c>
    </row>
    <row r="115" spans="2:12" ht="10.5" hidden="1">
      <c r="B115" s="16" t="s">
        <v>47</v>
      </c>
      <c r="C115" s="1">
        <v>108</v>
      </c>
      <c r="F115" s="17">
        <f>IF('Базовые цены с учетом расхода'!P10&gt;0,'Базовые цены с учетом расхода'!P10,IF('Базовые цены с учетом расхода'!P10&lt;0,'Базовые цены с учетом расхода'!P10,""))</f>
        <v>154.25</v>
      </c>
      <c r="L115" s="4" t="s">
        <v>48</v>
      </c>
    </row>
    <row r="116" spans="2:12" ht="10.5" hidden="1">
      <c r="B116" s="16" t="s">
        <v>49</v>
      </c>
      <c r="C116" s="1">
        <v>108</v>
      </c>
      <c r="F116" s="17">
        <f>IF('Базовые цены с учетом расхода'!Q10&gt;0,'Базовые цены с учетом расхода'!Q10,IF('Базовые цены с учетом расхода'!Q10&lt;0,'Базовые цены с учетом расхода'!Q10,""))</f>
        <v>61.02</v>
      </c>
      <c r="L116" s="4" t="s">
        <v>50</v>
      </c>
    </row>
    <row r="117" spans="2:12" ht="10.5" hidden="1">
      <c r="B117" s="16" t="s">
        <v>51</v>
      </c>
      <c r="C117" s="1">
        <v>68</v>
      </c>
      <c r="F117" s="17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135.54</v>
      </c>
      <c r="L117" s="4" t="s">
        <v>52</v>
      </c>
    </row>
    <row r="118" spans="2:12" ht="10.5" hidden="1">
      <c r="B118" s="16" t="s">
        <v>53</v>
      </c>
      <c r="C118" s="1">
        <v>68</v>
      </c>
      <c r="F118" s="17">
        <f>IF('Базовые цены с учетом расхода'!R10&gt;0,'Базовые цены с учетом расхода'!R10,IF('Базовые цены с учетом расхода'!R10&lt;0,'Базовые цены с учетом расхода'!R10,""))</f>
        <v>97.12</v>
      </c>
      <c r="L118" s="4" t="s">
        <v>54</v>
      </c>
    </row>
    <row r="119" spans="2:12" ht="10.5" hidden="1">
      <c r="B119" s="16" t="s">
        <v>55</v>
      </c>
      <c r="C119" s="1">
        <v>68</v>
      </c>
      <c r="F119" s="17">
        <f>IF('Базовые цены с учетом расхода'!S10&gt;0,'Базовые цены с учетом расхода'!S10,IF('Базовые цены с учетом расхода'!S10&lt;0,'Базовые цены с учетом расхода'!S10,""))</f>
        <v>38.42</v>
      </c>
      <c r="L119" s="4" t="s">
        <v>56</v>
      </c>
    </row>
    <row r="120" spans="1:10" ht="10.5">
      <c r="A120" s="18"/>
      <c r="B120" s="18"/>
      <c r="C120" s="18"/>
      <c r="D120" s="18"/>
      <c r="E120" s="18"/>
      <c r="F120" s="18"/>
      <c r="G120" s="18"/>
      <c r="H120" s="18"/>
      <c r="I120" s="18"/>
      <c r="J120" s="18"/>
    </row>
    <row r="121" spans="1:14" ht="10.5">
      <c r="A121" s="44" t="s">
        <v>65</v>
      </c>
      <c r="B121" s="45" t="s">
        <v>66</v>
      </c>
      <c r="C121" s="43">
        <v>2</v>
      </c>
      <c r="D121" s="12">
        <f>'Базовые цены за единицу'!B11</f>
        <v>1132.68</v>
      </c>
      <c r="E121" s="12">
        <f>'Базовые цены за единицу'!D11</f>
        <v>815.04</v>
      </c>
      <c r="F121" s="46">
        <f>'Базовые цены с учетом расхода'!B11</f>
        <v>2265.36</v>
      </c>
      <c r="G121" s="46">
        <f>'Базовые цены с учетом расхода'!C11</f>
        <v>510.7</v>
      </c>
      <c r="H121" s="12">
        <f>'Базовые цены с учетом расхода'!D11</f>
        <v>1630.08</v>
      </c>
      <c r="I121" s="14">
        <v>19.228</v>
      </c>
      <c r="J121" s="14">
        <f>'Базовые цены с учетом расхода'!I11</f>
        <v>38.456</v>
      </c>
      <c r="K121" s="1" t="s">
        <v>32</v>
      </c>
      <c r="L121" s="1" t="s">
        <v>33</v>
      </c>
      <c r="N121" s="46">
        <f>'Базовые цены с учетом расхода'!F11</f>
        <v>124.58</v>
      </c>
    </row>
    <row r="122" spans="1:14" ht="33" customHeight="1">
      <c r="A122" s="43"/>
      <c r="B122" s="45"/>
      <c r="C122" s="43"/>
      <c r="D122" s="13">
        <f>'Базовые цены за единицу'!C11</f>
        <v>255.35</v>
      </c>
      <c r="E122" s="13">
        <f>'Базовые цены за единицу'!E11</f>
        <v>79.14</v>
      </c>
      <c r="F122" s="46"/>
      <c r="G122" s="46"/>
      <c r="H122" s="13">
        <f>'Базовые цены с учетом расхода'!E11</f>
        <v>158.28</v>
      </c>
      <c r="I122" s="1">
        <v>5.0375</v>
      </c>
      <c r="J122" s="1">
        <f>'Базовые цены с учетом расхода'!K11</f>
        <v>10.075</v>
      </c>
      <c r="K122" s="1" t="s">
        <v>34</v>
      </c>
      <c r="L122" s="1" t="s">
        <v>35</v>
      </c>
      <c r="N122" s="46"/>
    </row>
    <row r="123" spans="2:10" ht="10.5">
      <c r="B123" s="47" t="s">
        <v>67</v>
      </c>
      <c r="C123" s="47"/>
      <c r="D123" s="47"/>
      <c r="E123" s="47"/>
      <c r="F123" s="47"/>
      <c r="G123" s="47"/>
      <c r="H123" s="47"/>
      <c r="I123" s="47"/>
      <c r="J123" s="47"/>
    </row>
    <row r="124" ht="10.5">
      <c r="B124" s="15" t="s">
        <v>340</v>
      </c>
    </row>
    <row r="125" spans="2:6" ht="10.5" hidden="1">
      <c r="B125" s="16" t="s">
        <v>36</v>
      </c>
      <c r="F125" s="1">
        <v>510.69</v>
      </c>
    </row>
    <row r="126" spans="2:6" ht="10.5" hidden="1">
      <c r="B126" s="16" t="s">
        <v>37</v>
      </c>
      <c r="F126" s="1">
        <v>1630.08</v>
      </c>
    </row>
    <row r="127" spans="2:6" ht="10.5" hidden="1">
      <c r="B127" s="16" t="s">
        <v>38</v>
      </c>
      <c r="F127" s="1">
        <v>158.28</v>
      </c>
    </row>
    <row r="128" spans="2:6" ht="10.5" hidden="1">
      <c r="B128" s="16" t="s">
        <v>39</v>
      </c>
      <c r="F128" s="1">
        <v>124.58</v>
      </c>
    </row>
    <row r="129" ht="21" hidden="1">
      <c r="B129" s="16" t="s">
        <v>40</v>
      </c>
    </row>
    <row r="130" ht="21" hidden="1">
      <c r="B130" s="16" t="s">
        <v>41</v>
      </c>
    </row>
    <row r="131" ht="10.5" hidden="1">
      <c r="B131" s="16" t="s">
        <v>42</v>
      </c>
    </row>
    <row r="132" ht="21" hidden="1">
      <c r="B132" s="16" t="s">
        <v>43</v>
      </c>
    </row>
    <row r="133" ht="10.5" hidden="1">
      <c r="B133" s="16" t="s">
        <v>44</v>
      </c>
    </row>
    <row r="134" spans="2:12" ht="10.5" hidden="1">
      <c r="B134" s="16" t="s">
        <v>45</v>
      </c>
      <c r="C134" s="1">
        <v>130</v>
      </c>
      <c r="F134" s="17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  <v>869.67</v>
      </c>
      <c r="L134" s="4" t="s">
        <v>46</v>
      </c>
    </row>
    <row r="135" spans="2:12" ht="10.5" hidden="1">
      <c r="B135" s="16" t="s">
        <v>47</v>
      </c>
      <c r="C135" s="1">
        <v>130</v>
      </c>
      <c r="F135" s="17">
        <f>IF('Базовые цены с учетом расхода'!P11&gt;0,'Базовые цены с учетом расхода'!P11,IF('Базовые цены с учетом расхода'!P11&lt;0,'Базовые цены с учетом расхода'!P11,""))</f>
        <v>663.91</v>
      </c>
      <c r="L135" s="4" t="s">
        <v>48</v>
      </c>
    </row>
    <row r="136" spans="2:12" ht="10.5" hidden="1">
      <c r="B136" s="16" t="s">
        <v>49</v>
      </c>
      <c r="C136" s="1">
        <v>130</v>
      </c>
      <c r="F136" s="17">
        <f>IF('Базовые цены с учетом расхода'!Q11&gt;0,'Базовые цены с учетом расхода'!Q11,IF('Базовые цены с учетом расхода'!Q11&lt;0,'Базовые цены с учетом расхода'!Q11,""))</f>
        <v>205.76</v>
      </c>
      <c r="L136" s="4" t="s">
        <v>50</v>
      </c>
    </row>
    <row r="137" spans="2:12" ht="10.5" hidden="1">
      <c r="B137" s="16" t="s">
        <v>51</v>
      </c>
      <c r="C137" s="1">
        <v>76</v>
      </c>
      <c r="F137" s="17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  <v>508.42</v>
      </c>
      <c r="L137" s="4" t="s">
        <v>52</v>
      </c>
    </row>
    <row r="138" spans="2:12" ht="10.5" hidden="1">
      <c r="B138" s="16" t="s">
        <v>53</v>
      </c>
      <c r="C138" s="1">
        <v>76</v>
      </c>
      <c r="F138" s="17">
        <f>IF('Базовые цены с учетом расхода'!R11&gt;0,'Базовые цены с учетом расхода'!R11,IF('Базовые цены с учетом расхода'!R11&lt;0,'Базовые цены с учетом расхода'!R11,""))</f>
        <v>388.13</v>
      </c>
      <c r="L138" s="4" t="s">
        <v>54</v>
      </c>
    </row>
    <row r="139" spans="2:12" ht="10.5" hidden="1">
      <c r="B139" s="16" t="s">
        <v>55</v>
      </c>
      <c r="C139" s="1">
        <v>76</v>
      </c>
      <c r="F139" s="17">
        <f>IF('Базовые цены с учетом расхода'!S11&gt;0,'Базовые цены с учетом расхода'!S11,IF('Базовые цены с учетом расхода'!S11&lt;0,'Базовые цены с учетом расхода'!S11,""))</f>
        <v>120.29</v>
      </c>
      <c r="L139" s="4" t="s">
        <v>56</v>
      </c>
    </row>
    <row r="140" spans="1:10" ht="10.5">
      <c r="A140" s="18"/>
      <c r="B140" s="18"/>
      <c r="C140" s="18"/>
      <c r="D140" s="18"/>
      <c r="E140" s="18"/>
      <c r="F140" s="18"/>
      <c r="G140" s="18"/>
      <c r="H140" s="18"/>
      <c r="I140" s="18"/>
      <c r="J140" s="18"/>
    </row>
    <row r="141" spans="1:14" ht="10.5">
      <c r="A141" s="44" t="s">
        <v>68</v>
      </c>
      <c r="B141" s="48" t="s">
        <v>330</v>
      </c>
      <c r="C141" s="43">
        <v>2</v>
      </c>
      <c r="D141" s="12">
        <f>'Базовые цены за единицу'!B12</f>
        <v>7004.73</v>
      </c>
      <c r="E141" s="12">
        <f>'Базовые цены за единицу'!D12</f>
        <v>0</v>
      </c>
      <c r="F141" s="46">
        <f>'Базовые цены с учетом расхода'!B12</f>
        <v>14009.46</v>
      </c>
      <c r="G141" s="46">
        <f>'Базовые цены с учетом расхода'!C12</f>
        <v>0</v>
      </c>
      <c r="H141" s="12">
        <f>'Базовые цены с учетом расхода'!D12</f>
        <v>0</v>
      </c>
      <c r="I141" s="14"/>
      <c r="J141" s="14">
        <f>'Базовые цены с учетом расхода'!I12</f>
        <v>0</v>
      </c>
      <c r="K141" s="1" t="s">
        <v>32</v>
      </c>
      <c r="L141" s="1" t="s">
        <v>33</v>
      </c>
      <c r="N141" s="46">
        <f>'Базовые цены с учетом расхода'!F12</f>
        <v>14009.46</v>
      </c>
    </row>
    <row r="142" spans="1:14" ht="54.75" customHeight="1">
      <c r="A142" s="43"/>
      <c r="B142" s="45"/>
      <c r="C142" s="43"/>
      <c r="D142" s="13">
        <f>'Базовые цены за единицу'!C12</f>
        <v>0</v>
      </c>
      <c r="E142" s="13">
        <f>'Базовые цены за единицу'!E12</f>
        <v>0</v>
      </c>
      <c r="F142" s="46"/>
      <c r="G142" s="46"/>
      <c r="H142" s="13">
        <f>'Базовые цены с учетом расхода'!E12</f>
        <v>0</v>
      </c>
      <c r="J142" s="1">
        <f>'Базовые цены с учетом расхода'!K12</f>
        <v>0</v>
      </c>
      <c r="K142" s="1" t="s">
        <v>34</v>
      </c>
      <c r="L142" s="1" t="s">
        <v>35</v>
      </c>
      <c r="N142" s="46"/>
    </row>
    <row r="143" ht="10.5" hidden="1">
      <c r="B143" s="16" t="s">
        <v>36</v>
      </c>
    </row>
    <row r="144" ht="10.5" hidden="1">
      <c r="B144" s="16" t="s">
        <v>37</v>
      </c>
    </row>
    <row r="145" ht="10.5" hidden="1">
      <c r="B145" s="16" t="s">
        <v>38</v>
      </c>
    </row>
    <row r="146" spans="2:6" ht="10.5" hidden="1">
      <c r="B146" s="16" t="s">
        <v>39</v>
      </c>
      <c r="F146" s="1">
        <v>14009.46</v>
      </c>
    </row>
    <row r="147" ht="21" hidden="1">
      <c r="B147" s="16" t="s">
        <v>40</v>
      </c>
    </row>
    <row r="148" ht="21" hidden="1">
      <c r="B148" s="16" t="s">
        <v>41</v>
      </c>
    </row>
    <row r="149" ht="10.5" hidden="1">
      <c r="B149" s="16" t="s">
        <v>42</v>
      </c>
    </row>
    <row r="150" ht="21" hidden="1">
      <c r="B150" s="16" t="s">
        <v>43</v>
      </c>
    </row>
    <row r="151" ht="10.5" hidden="1">
      <c r="B151" s="16" t="s">
        <v>44</v>
      </c>
    </row>
    <row r="152" spans="2:12" ht="10.5" hidden="1">
      <c r="B152" s="16" t="s">
        <v>45</v>
      </c>
      <c r="C152" s="1">
        <v>0</v>
      </c>
      <c r="F152" s="17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</c>
      <c r="L152" s="4" t="s">
        <v>46</v>
      </c>
    </row>
    <row r="153" spans="2:12" ht="10.5" hidden="1">
      <c r="B153" s="16" t="s">
        <v>47</v>
      </c>
      <c r="C153" s="1">
        <v>0</v>
      </c>
      <c r="F153" s="17">
        <f>IF('Базовые цены с учетом расхода'!P12&gt;0,'Базовые цены с учетом расхода'!P12,IF('Базовые цены с учетом расхода'!P12&lt;0,'Базовые цены с учетом расхода'!P12,""))</f>
      </c>
      <c r="L153" s="4" t="s">
        <v>48</v>
      </c>
    </row>
    <row r="154" spans="2:12" ht="10.5" hidden="1">
      <c r="B154" s="16" t="s">
        <v>49</v>
      </c>
      <c r="C154" s="1">
        <v>0</v>
      </c>
      <c r="F154" s="17">
        <f>IF('Базовые цены с учетом расхода'!Q12&gt;0,'Базовые цены с учетом расхода'!Q12,IF('Базовые цены с учетом расхода'!Q12&lt;0,'Базовые цены с учетом расхода'!Q12,""))</f>
      </c>
      <c r="L154" s="4" t="s">
        <v>50</v>
      </c>
    </row>
    <row r="155" spans="2:12" ht="10.5" hidden="1">
      <c r="B155" s="16" t="s">
        <v>51</v>
      </c>
      <c r="C155" s="1">
        <v>0</v>
      </c>
      <c r="F155" s="17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</c>
      <c r="L155" s="4" t="s">
        <v>52</v>
      </c>
    </row>
    <row r="156" spans="2:12" ht="10.5" hidden="1">
      <c r="B156" s="16" t="s">
        <v>53</v>
      </c>
      <c r="C156" s="1">
        <v>0</v>
      </c>
      <c r="F156" s="17">
        <f>IF('Базовые цены с учетом расхода'!R12&gt;0,'Базовые цены с учетом расхода'!R12,IF('Базовые цены с учетом расхода'!R12&lt;0,'Базовые цены с учетом расхода'!R12,""))</f>
      </c>
      <c r="L156" s="4" t="s">
        <v>54</v>
      </c>
    </row>
    <row r="157" spans="2:12" ht="10.5" hidden="1">
      <c r="B157" s="16" t="s">
        <v>55</v>
      </c>
      <c r="C157" s="1">
        <v>0</v>
      </c>
      <c r="F157" s="17">
        <f>IF('Базовые цены с учетом расхода'!S12&gt;0,'Базовые цены с учетом расхода'!S12,IF('Базовые цены с учетом расхода'!S12&lt;0,'Базовые цены с учетом расхода'!S12,""))</f>
      </c>
      <c r="L157" s="4" t="s">
        <v>56</v>
      </c>
    </row>
    <row r="158" spans="1:10" ht="10.5">
      <c r="A158" s="18"/>
      <c r="B158" s="18"/>
      <c r="C158" s="18"/>
      <c r="D158" s="18"/>
      <c r="E158" s="18"/>
      <c r="F158" s="18"/>
      <c r="G158" s="18"/>
      <c r="H158" s="18"/>
      <c r="I158" s="18"/>
      <c r="J158" s="18"/>
    </row>
    <row r="159" spans="1:14" ht="10.5">
      <c r="A159" s="44" t="s">
        <v>69</v>
      </c>
      <c r="B159" s="45" t="s">
        <v>70</v>
      </c>
      <c r="C159" s="43">
        <v>0.025</v>
      </c>
      <c r="D159" s="12">
        <f>'Базовые цены за единицу'!B13</f>
        <v>360.62</v>
      </c>
      <c r="E159" s="12">
        <f>'Базовые цены за единицу'!D13</f>
        <v>12.59</v>
      </c>
      <c r="F159" s="46">
        <f>'Базовые цены с учетом расхода'!B13</f>
        <v>9.01</v>
      </c>
      <c r="G159" s="46">
        <f>'Базовые цены с учетом расхода'!C13</f>
        <v>2.44</v>
      </c>
      <c r="H159" s="12">
        <f>'Базовые цены с учетом расхода'!D13</f>
        <v>0.31</v>
      </c>
      <c r="I159" s="14">
        <v>6.71715</v>
      </c>
      <c r="J159" s="14">
        <f>'Базовые цены с учетом расхода'!I13</f>
        <v>0.1679288</v>
      </c>
      <c r="K159" s="1" t="s">
        <v>32</v>
      </c>
      <c r="L159" s="1" t="s">
        <v>33</v>
      </c>
      <c r="N159" s="46">
        <f>'Базовые цены с учетом расхода'!F13</f>
        <v>6.26</v>
      </c>
    </row>
    <row r="160" spans="1:14" ht="33" customHeight="1">
      <c r="A160" s="43"/>
      <c r="B160" s="45"/>
      <c r="C160" s="43"/>
      <c r="D160" s="13">
        <f>'Базовые цены за единицу'!C13</f>
        <v>97.67</v>
      </c>
      <c r="E160" s="13">
        <f>'Базовые цены за единицу'!E13</f>
        <v>0.15</v>
      </c>
      <c r="F160" s="46"/>
      <c r="G160" s="46"/>
      <c r="H160" s="13">
        <f>'Базовые цены с учетом расхода'!E13</f>
        <v>0</v>
      </c>
      <c r="I160" s="1">
        <v>0.0125</v>
      </c>
      <c r="J160" s="1">
        <f>'Базовые цены с учетом расхода'!K13</f>
        <v>0.0003125</v>
      </c>
      <c r="K160" s="1" t="s">
        <v>34</v>
      </c>
      <c r="L160" s="1" t="s">
        <v>35</v>
      </c>
      <c r="N160" s="46"/>
    </row>
    <row r="161" ht="10.5">
      <c r="B161" s="15" t="s">
        <v>341</v>
      </c>
    </row>
    <row r="162" spans="2:6" ht="10.5" hidden="1">
      <c r="B162" s="16" t="s">
        <v>36</v>
      </c>
      <c r="F162" s="1">
        <v>2.44</v>
      </c>
    </row>
    <row r="163" spans="2:6" ht="10.5" hidden="1">
      <c r="B163" s="16" t="s">
        <v>37</v>
      </c>
      <c r="F163" s="1">
        <v>0.31</v>
      </c>
    </row>
    <row r="164" ht="10.5" hidden="1">
      <c r="B164" s="16" t="s">
        <v>38</v>
      </c>
    </row>
    <row r="165" spans="2:6" ht="10.5" hidden="1">
      <c r="B165" s="16" t="s">
        <v>39</v>
      </c>
      <c r="F165" s="1">
        <v>6.26</v>
      </c>
    </row>
    <row r="166" ht="21" hidden="1">
      <c r="B166" s="16" t="s">
        <v>40</v>
      </c>
    </row>
    <row r="167" ht="21" hidden="1">
      <c r="B167" s="16" t="s">
        <v>41</v>
      </c>
    </row>
    <row r="168" ht="10.5" hidden="1">
      <c r="B168" s="16" t="s">
        <v>42</v>
      </c>
    </row>
    <row r="169" ht="21" hidden="1">
      <c r="B169" s="16" t="s">
        <v>43</v>
      </c>
    </row>
    <row r="170" ht="10.5" hidden="1">
      <c r="B170" s="16" t="s">
        <v>44</v>
      </c>
    </row>
    <row r="171" spans="2:12" ht="10.5" hidden="1">
      <c r="B171" s="16" t="s">
        <v>45</v>
      </c>
      <c r="C171" s="1">
        <v>81</v>
      </c>
      <c r="F171" s="17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  <v>1.98</v>
      </c>
      <c r="L171" s="4" t="s">
        <v>46</v>
      </c>
    </row>
    <row r="172" spans="2:12" ht="10.5" hidden="1">
      <c r="B172" s="16" t="s">
        <v>47</v>
      </c>
      <c r="C172" s="1">
        <v>81</v>
      </c>
      <c r="F172" s="17">
        <f>IF('Базовые цены с учетом расхода'!P13&gt;0,'Базовые цены с учетом расхода'!P13,IF('Базовые цены с учетом расхода'!P13&lt;0,'Базовые цены с учетом расхода'!P13,""))</f>
        <v>1.98</v>
      </c>
      <c r="L172" s="4" t="s">
        <v>48</v>
      </c>
    </row>
    <row r="173" spans="2:12" ht="10.5" hidden="1">
      <c r="B173" s="16" t="s">
        <v>49</v>
      </c>
      <c r="C173" s="1">
        <v>81</v>
      </c>
      <c r="F173" s="17">
        <f>IF('Базовые цены с учетом расхода'!Q13&gt;0,'Базовые цены с учетом расхода'!Q13,IF('Базовые цены с учетом расхода'!Q13&lt;0,'Базовые цены с учетом расхода'!Q13,""))</f>
      </c>
      <c r="L173" s="4" t="s">
        <v>50</v>
      </c>
    </row>
    <row r="174" spans="2:12" ht="10.5" hidden="1">
      <c r="B174" s="16" t="s">
        <v>51</v>
      </c>
      <c r="C174" s="1">
        <v>60</v>
      </c>
      <c r="F174" s="17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  <v>1.46</v>
      </c>
      <c r="L174" s="4" t="s">
        <v>52</v>
      </c>
    </row>
    <row r="175" spans="2:12" ht="10.5" hidden="1">
      <c r="B175" s="16" t="s">
        <v>53</v>
      </c>
      <c r="C175" s="1">
        <v>60</v>
      </c>
      <c r="F175" s="17">
        <f>IF('Базовые цены с учетом расхода'!R13&gt;0,'Базовые цены с учетом расхода'!R13,IF('Базовые цены с учетом расхода'!R13&lt;0,'Базовые цены с учетом расхода'!R13,""))</f>
        <v>1.47</v>
      </c>
      <c r="L175" s="4" t="s">
        <v>54</v>
      </c>
    </row>
    <row r="176" spans="2:12" ht="10.5" hidden="1">
      <c r="B176" s="16" t="s">
        <v>55</v>
      </c>
      <c r="C176" s="1">
        <v>60</v>
      </c>
      <c r="F176" s="17">
        <f>IF('Базовые цены с учетом расхода'!S13&gt;0,'Базовые цены с учетом расхода'!S13,IF('Базовые цены с учетом расхода'!S13&lt;0,'Базовые цены с учетом расхода'!S13,""))</f>
      </c>
      <c r="L176" s="4" t="s">
        <v>56</v>
      </c>
    </row>
    <row r="177" spans="1:10" ht="10.5">
      <c r="A177" s="18"/>
      <c r="B177" s="18"/>
      <c r="C177" s="18"/>
      <c r="D177" s="18"/>
      <c r="E177" s="18"/>
      <c r="F177" s="18"/>
      <c r="G177" s="18"/>
      <c r="H177" s="18"/>
      <c r="I177" s="18"/>
      <c r="J177" s="18"/>
    </row>
    <row r="178" spans="1:14" ht="10.5">
      <c r="A178" s="44" t="s">
        <v>71</v>
      </c>
      <c r="B178" s="45" t="s">
        <v>72</v>
      </c>
      <c r="C178" s="43">
        <v>0.025</v>
      </c>
      <c r="D178" s="12">
        <f>'Базовые цены за единицу'!B14</f>
        <v>869.77</v>
      </c>
      <c r="E178" s="12">
        <f>'Базовые цены за единицу'!D14</f>
        <v>32.6</v>
      </c>
      <c r="F178" s="46">
        <f>'Базовые цены с учетом расхода'!B14</f>
        <v>21.75</v>
      </c>
      <c r="G178" s="46">
        <f>'Базовые цены с учетом расхода'!C14</f>
        <v>2.26</v>
      </c>
      <c r="H178" s="12">
        <f>'Базовые цены с учетом расхода'!D14</f>
        <v>0.82</v>
      </c>
      <c r="I178" s="14">
        <v>7.2864</v>
      </c>
      <c r="J178" s="14">
        <f>'Базовые цены с учетом расхода'!I14</f>
        <v>0.18216</v>
      </c>
      <c r="K178" s="1" t="s">
        <v>32</v>
      </c>
      <c r="L178" s="1" t="s">
        <v>33</v>
      </c>
      <c r="N178" s="46">
        <f>'Базовые цены с учетом расхода'!F14</f>
        <v>18.67</v>
      </c>
    </row>
    <row r="179" spans="1:14" ht="43.5" customHeight="1">
      <c r="A179" s="43"/>
      <c r="B179" s="45"/>
      <c r="C179" s="43"/>
      <c r="D179" s="13">
        <f>'Базовые цены за единицу'!C14</f>
        <v>90.35</v>
      </c>
      <c r="E179" s="13">
        <f>'Базовые цены за единицу'!E14</f>
        <v>0.3</v>
      </c>
      <c r="F179" s="46"/>
      <c r="G179" s="46"/>
      <c r="H179" s="13">
        <f>'Базовые цены с учетом расхода'!E14</f>
        <v>0.01</v>
      </c>
      <c r="I179" s="1">
        <v>0.025</v>
      </c>
      <c r="J179" s="1">
        <f>'Базовые цены с учетом расхода'!K14</f>
        <v>0.000625</v>
      </c>
      <c r="K179" s="1" t="s">
        <v>34</v>
      </c>
      <c r="L179" s="1" t="s">
        <v>35</v>
      </c>
      <c r="N179" s="46"/>
    </row>
    <row r="180" ht="10.5">
      <c r="B180" s="15" t="s">
        <v>342</v>
      </c>
    </row>
    <row r="181" spans="2:6" ht="10.5" hidden="1">
      <c r="B181" s="16" t="s">
        <v>36</v>
      </c>
      <c r="F181" s="1">
        <v>2.26</v>
      </c>
    </row>
    <row r="182" spans="2:6" ht="10.5" hidden="1">
      <c r="B182" s="16" t="s">
        <v>37</v>
      </c>
      <c r="F182" s="1">
        <v>0.82</v>
      </c>
    </row>
    <row r="183" spans="2:6" ht="10.5" hidden="1">
      <c r="B183" s="16" t="s">
        <v>38</v>
      </c>
      <c r="F183" s="1">
        <v>0.01</v>
      </c>
    </row>
    <row r="184" spans="2:6" ht="10.5" hidden="1">
      <c r="B184" s="16" t="s">
        <v>39</v>
      </c>
      <c r="F184" s="1">
        <v>18.67</v>
      </c>
    </row>
    <row r="185" ht="21" hidden="1">
      <c r="B185" s="16" t="s">
        <v>40</v>
      </c>
    </row>
    <row r="186" ht="21" hidden="1">
      <c r="B186" s="16" t="s">
        <v>41</v>
      </c>
    </row>
    <row r="187" ht="10.5" hidden="1">
      <c r="B187" s="16" t="s">
        <v>42</v>
      </c>
    </row>
    <row r="188" ht="21" hidden="1">
      <c r="B188" s="16" t="s">
        <v>43</v>
      </c>
    </row>
    <row r="189" ht="10.5" hidden="1">
      <c r="B189" s="16" t="s">
        <v>44</v>
      </c>
    </row>
    <row r="190" spans="2:12" ht="10.5" hidden="1">
      <c r="B190" s="16" t="s">
        <v>45</v>
      </c>
      <c r="C190" s="1">
        <v>81</v>
      </c>
      <c r="F190" s="17">
        <f>IF('Базовые цены с учетом расхода'!N14&gt;0,'Базовые цены с учетом расхода'!N14,IF('Базовые цены с учетом расхода'!N14&lt;0,'Базовые цены с учетом расхода'!N14,""))</f>
        <v>1.84</v>
      </c>
      <c r="L190" s="4" t="s">
        <v>46</v>
      </c>
    </row>
    <row r="191" spans="2:12" ht="10.5" hidden="1">
      <c r="B191" s="16" t="s">
        <v>47</v>
      </c>
      <c r="C191" s="1">
        <v>81</v>
      </c>
      <c r="F191" s="17">
        <f>IF('Базовые цены с учетом расхода'!P14&gt;0,'Базовые цены с учетом расхода'!P14,IF('Базовые цены с учетом расхода'!P14&lt;0,'Базовые цены с учетом расхода'!P14,""))</f>
        <v>1.83</v>
      </c>
      <c r="L191" s="4" t="s">
        <v>48</v>
      </c>
    </row>
    <row r="192" spans="2:12" ht="10.5" hidden="1">
      <c r="B192" s="16" t="s">
        <v>49</v>
      </c>
      <c r="C192" s="1">
        <v>81</v>
      </c>
      <c r="F192" s="17">
        <f>IF('Базовые цены с учетом расхода'!Q14&gt;0,'Базовые цены с учетом расхода'!Q14,IF('Базовые цены с учетом расхода'!Q14&lt;0,'Базовые цены с учетом расхода'!Q14,""))</f>
        <v>0.01</v>
      </c>
      <c r="L192" s="4" t="s">
        <v>50</v>
      </c>
    </row>
    <row r="193" spans="2:12" ht="10.5" hidden="1">
      <c r="B193" s="16" t="s">
        <v>51</v>
      </c>
      <c r="C193" s="1">
        <v>60</v>
      </c>
      <c r="F193" s="17">
        <f>IF('Базовые цены с учетом расхода'!O14&gt;0,'Базовые цены с учетом расхода'!O14,IF('Базовые цены с учетом расхода'!O14&lt;0,'Базовые цены с учетом расхода'!O14,""))</f>
        <v>1.36</v>
      </c>
      <c r="L193" s="4" t="s">
        <v>52</v>
      </c>
    </row>
    <row r="194" spans="2:12" ht="10.5" hidden="1">
      <c r="B194" s="16" t="s">
        <v>53</v>
      </c>
      <c r="C194" s="1">
        <v>60</v>
      </c>
      <c r="F194" s="17">
        <f>IF('Базовые цены с учетом расхода'!R14&gt;0,'Базовые цены с учетом расхода'!R14,IF('Базовые цены с учетом расхода'!R14&lt;0,'Базовые цены с учетом расхода'!R14,""))</f>
        <v>1.36</v>
      </c>
      <c r="L194" s="4" t="s">
        <v>54</v>
      </c>
    </row>
    <row r="195" spans="2:12" ht="10.5" hidden="1">
      <c r="B195" s="16" t="s">
        <v>55</v>
      </c>
      <c r="C195" s="1">
        <v>60</v>
      </c>
      <c r="F195" s="17">
        <f>IF('Базовые цены с учетом расхода'!S14&gt;0,'Базовые цены с учетом расхода'!S14,IF('Базовые цены с учетом расхода'!S14&lt;0,'Базовые цены с учетом расхода'!S14,""))</f>
      </c>
      <c r="L195" s="4" t="s">
        <v>56</v>
      </c>
    </row>
    <row r="196" spans="1:10" ht="10.5">
      <c r="A196" s="18"/>
      <c r="B196" s="18"/>
      <c r="C196" s="18"/>
      <c r="D196" s="18"/>
      <c r="E196" s="18"/>
      <c r="F196" s="18"/>
      <c r="G196" s="18"/>
      <c r="H196" s="18"/>
      <c r="I196" s="18"/>
      <c r="J196" s="18"/>
    </row>
    <row r="197" spans="1:14" ht="10.5">
      <c r="A197" s="44" t="s">
        <v>73</v>
      </c>
      <c r="B197" s="45" t="s">
        <v>74</v>
      </c>
      <c r="C197" s="43">
        <v>2</v>
      </c>
      <c r="D197" s="12">
        <f>'Базовые цены за единицу'!B15</f>
        <v>97.73</v>
      </c>
      <c r="E197" s="12">
        <f>'Базовые цены за единицу'!D15</f>
        <v>78.13</v>
      </c>
      <c r="F197" s="46">
        <f>'Базовые цены с учетом расхода'!B15</f>
        <v>195.46</v>
      </c>
      <c r="G197" s="46">
        <f>'Базовые цены с учетом расхода'!C15</f>
        <v>32.8</v>
      </c>
      <c r="H197" s="12">
        <f>'Базовые цены с учетом расхода'!D15</f>
        <v>156.26</v>
      </c>
      <c r="I197" s="14">
        <v>1.37816</v>
      </c>
      <c r="J197" s="14">
        <f>'Базовые цены с учетом расхода'!I15</f>
        <v>2.75632</v>
      </c>
      <c r="K197" s="1" t="s">
        <v>32</v>
      </c>
      <c r="L197" s="1" t="s">
        <v>33</v>
      </c>
      <c r="N197" s="46">
        <f>'Базовые цены с учетом расхода'!F15</f>
        <v>6.4</v>
      </c>
    </row>
    <row r="198" spans="1:14" ht="33" customHeight="1">
      <c r="A198" s="43"/>
      <c r="B198" s="45"/>
      <c r="C198" s="43"/>
      <c r="D198" s="13">
        <f>'Базовые цены за единицу'!C15</f>
        <v>16.4</v>
      </c>
      <c r="E198" s="13">
        <f>'Базовые цены за единицу'!E15</f>
        <v>11.89</v>
      </c>
      <c r="F198" s="46"/>
      <c r="G198" s="46"/>
      <c r="H198" s="13">
        <f>'Базовые цены с учетом расхода'!E15</f>
        <v>23.78</v>
      </c>
      <c r="I198" s="1">
        <v>0.72825</v>
      </c>
      <c r="J198" s="1">
        <f>'Базовые цены с учетом расхода'!K15</f>
        <v>1.4565</v>
      </c>
      <c r="K198" s="1" t="s">
        <v>34</v>
      </c>
      <c r="L198" s="1" t="s">
        <v>35</v>
      </c>
      <c r="N198" s="46"/>
    </row>
    <row r="199" ht="10.5">
      <c r="B199" s="15" t="s">
        <v>340</v>
      </c>
    </row>
    <row r="200" spans="2:6" ht="10.5" hidden="1">
      <c r="B200" s="16" t="s">
        <v>36</v>
      </c>
      <c r="F200" s="1">
        <v>32.8</v>
      </c>
    </row>
    <row r="201" spans="2:6" ht="10.5" hidden="1">
      <c r="B201" s="16" t="s">
        <v>37</v>
      </c>
      <c r="F201" s="1">
        <v>156.25</v>
      </c>
    </row>
    <row r="202" spans="2:6" ht="10.5" hidden="1">
      <c r="B202" s="16" t="s">
        <v>38</v>
      </c>
      <c r="F202" s="1">
        <v>23.78</v>
      </c>
    </row>
    <row r="203" spans="2:6" ht="10.5" hidden="1">
      <c r="B203" s="16" t="s">
        <v>39</v>
      </c>
      <c r="F203" s="1">
        <v>6.4</v>
      </c>
    </row>
    <row r="204" ht="21" hidden="1">
      <c r="B204" s="16" t="s">
        <v>40</v>
      </c>
    </row>
    <row r="205" ht="21" hidden="1">
      <c r="B205" s="16" t="s">
        <v>41</v>
      </c>
    </row>
    <row r="206" ht="10.5" hidden="1">
      <c r="B206" s="16" t="s">
        <v>42</v>
      </c>
    </row>
    <row r="207" ht="21" hidden="1">
      <c r="B207" s="16" t="s">
        <v>43</v>
      </c>
    </row>
    <row r="208" ht="10.5" hidden="1">
      <c r="B208" s="16" t="s">
        <v>44</v>
      </c>
    </row>
    <row r="209" spans="2:12" ht="10.5" hidden="1">
      <c r="B209" s="16" t="s">
        <v>45</v>
      </c>
      <c r="C209" s="1">
        <v>117</v>
      </c>
      <c r="F209" s="17">
        <f>IF('Базовые цены с учетом расхода'!N15&gt;0,'Базовые цены с учетом расхода'!N15,IF('Базовые цены с учетом расхода'!N15&lt;0,'Базовые цены с учетом расхода'!N15,""))</f>
        <v>66.2</v>
      </c>
      <c r="L209" s="4" t="s">
        <v>46</v>
      </c>
    </row>
    <row r="210" spans="2:12" ht="10.5" hidden="1">
      <c r="B210" s="16" t="s">
        <v>47</v>
      </c>
      <c r="C210" s="1">
        <v>117</v>
      </c>
      <c r="F210" s="17">
        <f>IF('Базовые цены с учетом расхода'!P15&gt;0,'Базовые цены с учетом расхода'!P15,IF('Базовые цены с учетом расхода'!P15&lt;0,'Базовые цены с учетом расхода'!P15,""))</f>
        <v>38.38</v>
      </c>
      <c r="L210" s="4" t="s">
        <v>48</v>
      </c>
    </row>
    <row r="211" spans="2:12" ht="10.5" hidden="1">
      <c r="B211" s="16" t="s">
        <v>49</v>
      </c>
      <c r="C211" s="1">
        <v>117</v>
      </c>
      <c r="F211" s="17">
        <f>IF('Базовые цены с учетом расхода'!Q15&gt;0,'Базовые цены с учетом расхода'!Q15,IF('Базовые цены с учетом расхода'!Q15&lt;0,'Базовые цены с учетом расхода'!Q15,""))</f>
        <v>27.82</v>
      </c>
      <c r="L211" s="4" t="s">
        <v>50</v>
      </c>
    </row>
    <row r="212" spans="2:12" ht="10.5" hidden="1">
      <c r="B212" s="16" t="s">
        <v>51</v>
      </c>
      <c r="C212" s="1">
        <v>72</v>
      </c>
      <c r="F212" s="17">
        <f>IF('Базовые цены с учетом расхода'!O15&gt;0,'Базовые цены с учетом расхода'!O15,IF('Базовые цены с учетом расхода'!O15&lt;0,'Базовые цены с учетом расхода'!O15,""))</f>
        <v>40.74</v>
      </c>
      <c r="L212" s="4" t="s">
        <v>52</v>
      </c>
    </row>
    <row r="213" spans="2:12" ht="10.5" hidden="1">
      <c r="B213" s="16" t="s">
        <v>53</v>
      </c>
      <c r="C213" s="1">
        <v>72</v>
      </c>
      <c r="F213" s="17">
        <f>IF('Базовые цены с учетом расхода'!R15&gt;0,'Базовые цены с учетом расхода'!R15,IF('Базовые цены с учетом расхода'!R15&lt;0,'Базовые цены с учетом расхода'!R15,""))</f>
        <v>23.62</v>
      </c>
      <c r="L213" s="4" t="s">
        <v>54</v>
      </c>
    </row>
    <row r="214" spans="2:12" ht="10.5" hidden="1">
      <c r="B214" s="16" t="s">
        <v>55</v>
      </c>
      <c r="C214" s="1">
        <v>72</v>
      </c>
      <c r="F214" s="17">
        <f>IF('Базовые цены с учетом расхода'!S15&gt;0,'Базовые цены с учетом расхода'!S15,IF('Базовые цены с учетом расхода'!S15&lt;0,'Базовые цены с учетом расхода'!S15,""))</f>
        <v>17.12</v>
      </c>
      <c r="L214" s="4" t="s">
        <v>56</v>
      </c>
    </row>
    <row r="215" spans="1:10" ht="10.5">
      <c r="A215" s="18"/>
      <c r="B215" s="18"/>
      <c r="C215" s="18"/>
      <c r="D215" s="18"/>
      <c r="E215" s="18"/>
      <c r="F215" s="18"/>
      <c r="G215" s="18"/>
      <c r="H215" s="18"/>
      <c r="I215" s="18"/>
      <c r="J215" s="18"/>
    </row>
    <row r="216" spans="1:14" ht="10.5">
      <c r="A216" s="44" t="s">
        <v>75</v>
      </c>
      <c r="B216" s="45" t="s">
        <v>76</v>
      </c>
      <c r="C216" s="43">
        <v>0.01</v>
      </c>
      <c r="D216" s="12">
        <f>'Базовые цены за единицу'!B16</f>
        <v>1059.68</v>
      </c>
      <c r="E216" s="12">
        <f>'Базовые цены за единицу'!D16</f>
        <v>0</v>
      </c>
      <c r="F216" s="46">
        <f>'Базовые цены с учетом расхода'!B16</f>
        <v>10.6</v>
      </c>
      <c r="G216" s="46">
        <f>'Базовые цены с учетом расхода'!C16</f>
        <v>10.6</v>
      </c>
      <c r="H216" s="12">
        <f>'Базовые цены с учетом расхода'!D16</f>
        <v>0</v>
      </c>
      <c r="I216" s="14">
        <v>111.78</v>
      </c>
      <c r="J216" s="14">
        <f>'Базовые цены с учетом расхода'!I16</f>
        <v>1.1178</v>
      </c>
      <c r="K216" s="1" t="s">
        <v>32</v>
      </c>
      <c r="L216" s="1" t="s">
        <v>33</v>
      </c>
      <c r="N216" s="46">
        <f>'Базовые цены с учетом расхода'!F16</f>
        <v>0</v>
      </c>
    </row>
    <row r="217" spans="1:14" ht="33" customHeight="1">
      <c r="A217" s="43"/>
      <c r="B217" s="45"/>
      <c r="C217" s="43"/>
      <c r="D217" s="13">
        <f>'Базовые цены за единицу'!C16</f>
        <v>1059.68</v>
      </c>
      <c r="E217" s="13">
        <f>'Базовые цены за единицу'!E16</f>
        <v>0</v>
      </c>
      <c r="F217" s="46"/>
      <c r="G217" s="46"/>
      <c r="H217" s="13">
        <f>'Базовые цены с учетом расхода'!E16</f>
        <v>0</v>
      </c>
      <c r="J217" s="1">
        <f>'Базовые цены с учетом расхода'!K16</f>
        <v>0</v>
      </c>
      <c r="K217" s="1" t="s">
        <v>34</v>
      </c>
      <c r="L217" s="1" t="s">
        <v>35</v>
      </c>
      <c r="N217" s="46"/>
    </row>
    <row r="218" ht="10.5">
      <c r="B218" s="15" t="s">
        <v>343</v>
      </c>
    </row>
    <row r="219" spans="2:6" ht="10.5" hidden="1">
      <c r="B219" s="16" t="s">
        <v>36</v>
      </c>
      <c r="F219" s="1">
        <v>10.6</v>
      </c>
    </row>
    <row r="220" ht="10.5" hidden="1">
      <c r="B220" s="16" t="s">
        <v>37</v>
      </c>
    </row>
    <row r="221" ht="10.5" hidden="1">
      <c r="B221" s="16" t="s">
        <v>38</v>
      </c>
    </row>
    <row r="222" ht="10.5" hidden="1">
      <c r="B222" s="16" t="s">
        <v>39</v>
      </c>
    </row>
    <row r="223" ht="21" hidden="1">
      <c r="B223" s="16" t="s">
        <v>40</v>
      </c>
    </row>
    <row r="224" ht="21" hidden="1">
      <c r="B224" s="16" t="s">
        <v>41</v>
      </c>
    </row>
    <row r="225" ht="10.5" hidden="1">
      <c r="B225" s="16" t="s">
        <v>42</v>
      </c>
    </row>
    <row r="226" ht="21" hidden="1">
      <c r="B226" s="16" t="s">
        <v>43</v>
      </c>
    </row>
    <row r="227" ht="10.5" hidden="1">
      <c r="B227" s="16" t="s">
        <v>44</v>
      </c>
    </row>
    <row r="228" spans="2:12" ht="10.5" hidden="1">
      <c r="B228" s="16" t="s">
        <v>45</v>
      </c>
      <c r="C228" s="1">
        <v>80</v>
      </c>
      <c r="F228" s="17">
        <f>IF('Базовые цены с учетом расхода'!N16&gt;0,'Базовые цены с учетом расхода'!N16,IF('Базовые цены с учетом расхода'!N16&lt;0,'Базовые цены с учетом расхода'!N16,""))</f>
        <v>8.48</v>
      </c>
      <c r="L228" s="4" t="s">
        <v>46</v>
      </c>
    </row>
    <row r="229" spans="2:12" ht="10.5" hidden="1">
      <c r="B229" s="16" t="s">
        <v>47</v>
      </c>
      <c r="C229" s="1">
        <v>80</v>
      </c>
      <c r="F229" s="17">
        <f>IF('Базовые цены с учетом расхода'!P16&gt;0,'Базовые цены с учетом расхода'!P16,IF('Базовые цены с учетом расхода'!P16&lt;0,'Базовые цены с учетом расхода'!P16,""))</f>
        <v>8.48</v>
      </c>
      <c r="L229" s="4" t="s">
        <v>48</v>
      </c>
    </row>
    <row r="230" spans="2:12" ht="10.5" hidden="1">
      <c r="B230" s="16" t="s">
        <v>49</v>
      </c>
      <c r="C230" s="1">
        <v>80</v>
      </c>
      <c r="F230" s="17">
        <f>IF('Базовые цены с учетом расхода'!Q16&gt;0,'Базовые цены с учетом расхода'!Q16,IF('Базовые цены с учетом расхода'!Q16&lt;0,'Базовые цены с учетом расхода'!Q16,""))</f>
      </c>
      <c r="L230" s="4" t="s">
        <v>50</v>
      </c>
    </row>
    <row r="231" spans="2:12" ht="10.5" hidden="1">
      <c r="B231" s="16" t="s">
        <v>51</v>
      </c>
      <c r="C231" s="1">
        <v>38</v>
      </c>
      <c r="F231" s="17">
        <f>IF('Базовые цены с учетом расхода'!O16&gt;0,'Базовые цены с учетом расхода'!O16,IF('Базовые цены с учетом расхода'!O16&lt;0,'Базовые цены с учетом расхода'!O16,""))</f>
        <v>4.03</v>
      </c>
      <c r="L231" s="4" t="s">
        <v>52</v>
      </c>
    </row>
    <row r="232" spans="2:12" ht="10.5" hidden="1">
      <c r="B232" s="16" t="s">
        <v>53</v>
      </c>
      <c r="C232" s="1">
        <v>38</v>
      </c>
      <c r="F232" s="17">
        <f>IF('Базовые цены с учетом расхода'!R16&gt;0,'Базовые цены с учетом расхода'!R16,IF('Базовые цены с учетом расхода'!R16&lt;0,'Базовые цены с учетом расхода'!R16,""))</f>
        <v>4.03</v>
      </c>
      <c r="L232" s="4" t="s">
        <v>54</v>
      </c>
    </row>
    <row r="233" spans="2:12" ht="10.5" hidden="1">
      <c r="B233" s="16" t="s">
        <v>55</v>
      </c>
      <c r="C233" s="1">
        <v>38</v>
      </c>
      <c r="F233" s="17">
        <f>IF('Базовые цены с учетом расхода'!S16&gt;0,'Базовые цены с учетом расхода'!S16,IF('Базовые цены с учетом расхода'!S16&lt;0,'Базовые цены с учетом расхода'!S16,""))</f>
      </c>
      <c r="L233" s="4" t="s">
        <v>56</v>
      </c>
    </row>
    <row r="234" spans="1:10" ht="10.5">
      <c r="A234" s="18"/>
      <c r="B234" s="18"/>
      <c r="C234" s="18"/>
      <c r="D234" s="18"/>
      <c r="E234" s="18"/>
      <c r="F234" s="18"/>
      <c r="G234" s="18"/>
      <c r="H234" s="18"/>
      <c r="I234" s="18"/>
      <c r="J234" s="18"/>
    </row>
    <row r="235" spans="1:14" ht="10.5">
      <c r="A235" s="44" t="s">
        <v>77</v>
      </c>
      <c r="B235" s="45" t="s">
        <v>78</v>
      </c>
      <c r="C235" s="43">
        <v>0.009</v>
      </c>
      <c r="D235" s="12">
        <f>'Базовые цены за единицу'!B17</f>
        <v>791.76</v>
      </c>
      <c r="E235" s="12">
        <f>'Базовые цены за единицу'!D17</f>
        <v>791.76</v>
      </c>
      <c r="F235" s="46">
        <f>'Базовые цены с учетом расхода'!B17</f>
        <v>7.13</v>
      </c>
      <c r="G235" s="46">
        <f>'Базовые цены с учетом расхода'!C17</f>
        <v>0</v>
      </c>
      <c r="H235" s="12">
        <f>'Базовые цены с учетом расхода'!D17</f>
        <v>7.13</v>
      </c>
      <c r="I235" s="14"/>
      <c r="J235" s="14">
        <f>'Базовые цены с учетом расхода'!I17</f>
        <v>0</v>
      </c>
      <c r="K235" s="1" t="s">
        <v>32</v>
      </c>
      <c r="L235" s="1" t="s">
        <v>33</v>
      </c>
      <c r="N235" s="46">
        <f>'Базовые цены с учетом расхода'!F17</f>
        <v>0</v>
      </c>
    </row>
    <row r="236" spans="1:14" ht="43.5" customHeight="1">
      <c r="A236" s="43"/>
      <c r="B236" s="45"/>
      <c r="C236" s="43"/>
      <c r="D236" s="13">
        <f>'Базовые цены за единицу'!C17</f>
        <v>0</v>
      </c>
      <c r="E236" s="13">
        <f>'Базовые цены за единицу'!E17</f>
        <v>155.45</v>
      </c>
      <c r="F236" s="46"/>
      <c r="G236" s="46"/>
      <c r="H236" s="13">
        <f>'Базовые цены с учетом расхода'!E17</f>
        <v>1.4</v>
      </c>
      <c r="I236" s="1">
        <v>11.0875</v>
      </c>
      <c r="J236" s="1">
        <f>'Базовые цены с учетом расхода'!K17</f>
        <v>0.0997875</v>
      </c>
      <c r="K236" s="1" t="s">
        <v>34</v>
      </c>
      <c r="L236" s="1" t="s">
        <v>35</v>
      </c>
      <c r="N236" s="46"/>
    </row>
    <row r="237" ht="10.5">
      <c r="B237" s="15" t="s">
        <v>339</v>
      </c>
    </row>
    <row r="238" ht="10.5" hidden="1">
      <c r="B238" s="16" t="s">
        <v>36</v>
      </c>
    </row>
    <row r="239" spans="2:6" ht="10.5" hidden="1">
      <c r="B239" s="16" t="s">
        <v>37</v>
      </c>
      <c r="F239" s="1">
        <v>7.13</v>
      </c>
    </row>
    <row r="240" spans="2:6" ht="10.5" hidden="1">
      <c r="B240" s="16" t="s">
        <v>38</v>
      </c>
      <c r="F240" s="1">
        <v>1.4</v>
      </c>
    </row>
    <row r="241" ht="10.5" hidden="1">
      <c r="B241" s="16" t="s">
        <v>39</v>
      </c>
    </row>
    <row r="242" ht="21" hidden="1">
      <c r="B242" s="16" t="s">
        <v>40</v>
      </c>
    </row>
    <row r="243" ht="21" hidden="1">
      <c r="B243" s="16" t="s">
        <v>41</v>
      </c>
    </row>
    <row r="244" ht="10.5" hidden="1">
      <c r="B244" s="16" t="s">
        <v>42</v>
      </c>
    </row>
    <row r="245" ht="21" hidden="1">
      <c r="B245" s="16" t="s">
        <v>43</v>
      </c>
    </row>
    <row r="246" ht="10.5" hidden="1">
      <c r="B246" s="16" t="s">
        <v>44</v>
      </c>
    </row>
    <row r="247" spans="2:12" ht="10.5" hidden="1">
      <c r="B247" s="16" t="s">
        <v>45</v>
      </c>
      <c r="C247" s="1">
        <v>95</v>
      </c>
      <c r="F247" s="17">
        <f>IF('Базовые цены с учетом расхода'!N17&gt;0,'Базовые цены с учетом расхода'!N17,IF('Базовые цены с учетом расхода'!N17&lt;0,'Базовые цены с учетом расхода'!N17,""))</f>
        <v>1.33</v>
      </c>
      <c r="L247" s="4" t="s">
        <v>46</v>
      </c>
    </row>
    <row r="248" spans="2:12" ht="10.5" hidden="1">
      <c r="B248" s="16" t="s">
        <v>47</v>
      </c>
      <c r="C248" s="1">
        <v>95</v>
      </c>
      <c r="F248" s="17">
        <f>IF('Базовые цены с учетом расхода'!P17&gt;0,'Базовые цены с учетом расхода'!P17,IF('Базовые цены с учетом расхода'!P17&lt;0,'Базовые цены с учетом расхода'!P17,""))</f>
      </c>
      <c r="L248" s="4" t="s">
        <v>48</v>
      </c>
    </row>
    <row r="249" spans="2:12" ht="10.5" hidden="1">
      <c r="B249" s="16" t="s">
        <v>49</v>
      </c>
      <c r="C249" s="1">
        <v>95</v>
      </c>
      <c r="F249" s="17">
        <f>IF('Базовые цены с учетом расхода'!Q17&gt;0,'Базовые цены с учетом расхода'!Q17,IF('Базовые цены с учетом расхода'!Q17&lt;0,'Базовые цены с учетом расхода'!Q17,""))</f>
        <v>1.33</v>
      </c>
      <c r="L249" s="4" t="s">
        <v>50</v>
      </c>
    </row>
    <row r="250" spans="2:12" ht="10.5" hidden="1">
      <c r="B250" s="16" t="s">
        <v>51</v>
      </c>
      <c r="C250" s="1">
        <v>43</v>
      </c>
      <c r="F250" s="17">
        <f>IF('Базовые цены с учетом расхода'!O17&gt;0,'Базовые цены с учетом расхода'!O17,IF('Базовые цены с учетом расхода'!O17&lt;0,'Базовые цены с учетом расхода'!O17,""))</f>
        <v>0.6</v>
      </c>
      <c r="L250" s="4" t="s">
        <v>52</v>
      </c>
    </row>
    <row r="251" spans="2:12" ht="10.5" hidden="1">
      <c r="B251" s="16" t="s">
        <v>53</v>
      </c>
      <c r="C251" s="1">
        <v>43</v>
      </c>
      <c r="F251" s="17">
        <f>IF('Базовые цены с учетом расхода'!R17&gt;0,'Базовые цены с учетом расхода'!R17,IF('Базовые цены с учетом расхода'!R17&lt;0,'Базовые цены с учетом расхода'!R17,""))</f>
      </c>
      <c r="L251" s="4" t="s">
        <v>54</v>
      </c>
    </row>
    <row r="252" spans="2:12" ht="10.5" hidden="1">
      <c r="B252" s="16" t="s">
        <v>55</v>
      </c>
      <c r="C252" s="1">
        <v>43</v>
      </c>
      <c r="F252" s="17">
        <f>IF('Базовые цены с учетом расхода'!S17&gt;0,'Базовые цены с учетом расхода'!S17,IF('Базовые цены с учетом расхода'!S17&lt;0,'Базовые цены с учетом расхода'!S17,""))</f>
        <v>0.6</v>
      </c>
      <c r="L252" s="4" t="s">
        <v>56</v>
      </c>
    </row>
    <row r="253" spans="1:10" ht="10.5">
      <c r="A253" s="18"/>
      <c r="B253" s="18"/>
      <c r="C253" s="18"/>
      <c r="D253" s="18"/>
      <c r="E253" s="18"/>
      <c r="F253" s="18"/>
      <c r="G253" s="18"/>
      <c r="H253" s="18"/>
      <c r="I253" s="18"/>
      <c r="J253" s="18"/>
    </row>
    <row r="254" spans="2:18" ht="10.5">
      <c r="B254" s="9" t="s">
        <v>79</v>
      </c>
      <c r="E254" s="41"/>
      <c r="F254" s="42">
        <f>'Базовые концовки'!F7</f>
        <v>17933.27</v>
      </c>
      <c r="G254" s="42">
        <f>'Базовые концовки'!G7</f>
        <v>793.13</v>
      </c>
      <c r="H254" s="21">
        <f>'Базовые концовки'!H7</f>
        <v>2966.45</v>
      </c>
      <c r="I254" s="43"/>
      <c r="J254" s="22">
        <f>'Базовые концовки'!J7</f>
        <v>64.9240728</v>
      </c>
      <c r="N254" s="42">
        <f>'Базовые концовки'!L7</f>
        <v>14173.69</v>
      </c>
      <c r="R254" s="42">
        <f>'Базовые концовки'!M7</f>
        <v>0</v>
      </c>
    </row>
    <row r="255" spans="5:18" ht="10.5">
      <c r="E255" s="41"/>
      <c r="F255" s="42"/>
      <c r="G255" s="42"/>
      <c r="H255" s="20">
        <f>'Базовые концовки'!I7</f>
        <v>556.91</v>
      </c>
      <c r="I255" s="43"/>
      <c r="J255" s="8">
        <f>'Базовые концовки'!K7</f>
        <v>40.674155</v>
      </c>
      <c r="N255" s="42"/>
      <c r="R255" s="42"/>
    </row>
    <row r="256" spans="2:18" ht="10.5" hidden="1">
      <c r="B256" s="9" t="s">
        <v>80</v>
      </c>
      <c r="D256" s="19"/>
      <c r="F256" s="20">
        <f>'Базовые концовки'!F8</f>
        <v>0</v>
      </c>
      <c r="G256" s="20">
        <f>'Базовые концовки'!G8</f>
        <v>0</v>
      </c>
      <c r="H256" s="20">
        <f>'Базовые концовки'!H8</f>
        <v>0</v>
      </c>
      <c r="J256" s="8">
        <f>'Базовые концовки'!J8</f>
        <v>0</v>
      </c>
      <c r="N256" s="20">
        <f>'Базовые концовки'!L8</f>
        <v>0</v>
      </c>
      <c r="R256" s="20">
        <f>'Базовые концовки'!M8</f>
        <v>0</v>
      </c>
    </row>
    <row r="257" spans="2:18" ht="10.5" hidden="1">
      <c r="B257" s="9" t="s">
        <v>81</v>
      </c>
      <c r="D257" s="19"/>
      <c r="F257" s="20">
        <f>'Базовые концовки'!F9</f>
        <v>0</v>
      </c>
      <c r="G257" s="20"/>
      <c r="H257" s="20"/>
      <c r="J257" s="8"/>
      <c r="N257" s="20"/>
      <c r="R257" s="20"/>
    </row>
    <row r="258" spans="2:18" ht="10.5" hidden="1">
      <c r="B258" s="9" t="s">
        <v>82</v>
      </c>
      <c r="D258" s="19"/>
      <c r="F258" s="20">
        <f>'Базовые концовки'!F10</f>
        <v>0</v>
      </c>
      <c r="G258" s="20"/>
      <c r="H258" s="20"/>
      <c r="J258" s="8"/>
      <c r="N258" s="20"/>
      <c r="R258" s="20"/>
    </row>
    <row r="259" spans="2:18" ht="10.5" hidden="1">
      <c r="B259" s="9" t="s">
        <v>83</v>
      </c>
      <c r="D259" s="19"/>
      <c r="F259" s="20">
        <f>'Базовые концовки'!F11</f>
        <v>0</v>
      </c>
      <c r="G259" s="20"/>
      <c r="H259" s="20"/>
      <c r="J259" s="8"/>
      <c r="N259" s="20"/>
      <c r="R259" s="20"/>
    </row>
    <row r="260" spans="2:18" ht="10.5" hidden="1">
      <c r="B260" s="9" t="s">
        <v>84</v>
      </c>
      <c r="D260" s="19"/>
      <c r="F260" s="20">
        <f>'Базовые концовки'!F12</f>
        <v>0</v>
      </c>
      <c r="G260" s="20"/>
      <c r="H260" s="20"/>
      <c r="J260" s="8"/>
      <c r="N260" s="20"/>
      <c r="R260" s="20"/>
    </row>
    <row r="261" spans="2:18" ht="10.5" hidden="1">
      <c r="B261" s="9" t="s">
        <v>85</v>
      </c>
      <c r="D261" s="19"/>
      <c r="F261" s="20">
        <f>'Базовые концовки'!F13</f>
        <v>0</v>
      </c>
      <c r="G261" s="20"/>
      <c r="H261" s="20"/>
      <c r="J261" s="8"/>
      <c r="N261" s="20"/>
      <c r="R261" s="20"/>
    </row>
    <row r="262" spans="2:18" ht="10.5" hidden="1">
      <c r="B262" s="9" t="s">
        <v>86</v>
      </c>
      <c r="D262" s="19"/>
      <c r="F262" s="20">
        <f>'Базовые концовки'!F14</f>
        <v>0</v>
      </c>
      <c r="G262" s="20"/>
      <c r="H262" s="20"/>
      <c r="J262" s="8"/>
      <c r="N262" s="20"/>
      <c r="R262" s="20"/>
    </row>
    <row r="263" spans="2:18" ht="10.5" hidden="1">
      <c r="B263" s="9" t="s">
        <v>87</v>
      </c>
      <c r="D263" s="19"/>
      <c r="F263" s="20">
        <f>'Базовые концовки'!F15</f>
        <v>0</v>
      </c>
      <c r="G263" s="20"/>
      <c r="H263" s="20"/>
      <c r="J263" s="8"/>
      <c r="N263" s="20"/>
      <c r="R263" s="20"/>
    </row>
    <row r="264" spans="2:18" ht="10.5" hidden="1">
      <c r="B264" s="9" t="s">
        <v>88</v>
      </c>
      <c r="D264" s="19"/>
      <c r="F264" s="20">
        <f>'Базовые концовки'!F16</f>
        <v>0</v>
      </c>
      <c r="G264" s="20"/>
      <c r="H264" s="20"/>
      <c r="J264" s="8"/>
      <c r="N264" s="20"/>
      <c r="R264" s="20"/>
    </row>
    <row r="265" spans="2:18" ht="10.5" hidden="1">
      <c r="B265" s="9" t="s">
        <v>89</v>
      </c>
      <c r="D265" s="19"/>
      <c r="F265" s="20">
        <f>'Базовые концовки'!F17</f>
        <v>0</v>
      </c>
      <c r="G265" s="20"/>
      <c r="H265" s="20"/>
      <c r="J265" s="8"/>
      <c r="N265" s="20"/>
      <c r="R265" s="20"/>
    </row>
    <row r="266" spans="2:18" ht="10.5" hidden="1">
      <c r="B266" s="9" t="s">
        <v>90</v>
      </c>
      <c r="D266" s="19"/>
      <c r="F266" s="20">
        <f>'Базовые концовки'!F18</f>
        <v>0</v>
      </c>
      <c r="G266" s="20">
        <f>'Базовые концовки'!G18</f>
        <v>0</v>
      </c>
      <c r="H266" s="20">
        <f>'Базовые концовки'!H18</f>
        <v>0</v>
      </c>
      <c r="J266" s="8">
        <f>'Базовые концовки'!J18</f>
        <v>0</v>
      </c>
      <c r="N266" s="20">
        <f>'Базовые концовки'!L18</f>
        <v>0</v>
      </c>
      <c r="R266" s="20">
        <f>'Базовые концовки'!M18</f>
        <v>0</v>
      </c>
    </row>
    <row r="267" spans="2:18" ht="10.5" hidden="1">
      <c r="B267" s="9" t="s">
        <v>91</v>
      </c>
      <c r="D267" s="19"/>
      <c r="F267" s="20"/>
      <c r="G267" s="20"/>
      <c r="H267" s="20"/>
      <c r="J267" s="8"/>
      <c r="N267" s="20"/>
      <c r="R267" s="20"/>
    </row>
    <row r="268" spans="2:18" ht="10.5" hidden="1">
      <c r="B268" s="9" t="s">
        <v>92</v>
      </c>
      <c r="D268" s="19"/>
      <c r="F268" s="20"/>
      <c r="G268" s="20">
        <f>'Базовые концовки'!G20</f>
        <v>0</v>
      </c>
      <c r="H268" s="20"/>
      <c r="J268" s="8"/>
      <c r="N268" s="20"/>
      <c r="R268" s="20"/>
    </row>
    <row r="269" spans="2:18" ht="10.5" hidden="1">
      <c r="B269" s="9" t="s">
        <v>93</v>
      </c>
      <c r="D269" s="19"/>
      <c r="F269" s="20">
        <f>'Базовые концовки'!F21</f>
        <v>0</v>
      </c>
      <c r="G269" s="20"/>
      <c r="H269" s="20"/>
      <c r="J269" s="8"/>
      <c r="N269" s="20"/>
      <c r="R269" s="20"/>
    </row>
    <row r="270" spans="2:18" ht="10.5" hidden="1">
      <c r="B270" s="9" t="s">
        <v>94</v>
      </c>
      <c r="D270" s="19"/>
      <c r="F270" s="20">
        <f>'Базовые концовки'!F22</f>
        <v>0</v>
      </c>
      <c r="G270" s="20"/>
      <c r="H270" s="20"/>
      <c r="J270" s="8"/>
      <c r="N270" s="20"/>
      <c r="R270" s="20"/>
    </row>
    <row r="271" spans="2:18" ht="10.5" hidden="1">
      <c r="B271" s="9" t="s">
        <v>95</v>
      </c>
      <c r="D271" s="19"/>
      <c r="F271" s="20">
        <f>'Базовые концовки'!F23</f>
        <v>0</v>
      </c>
      <c r="G271" s="20"/>
      <c r="H271" s="20"/>
      <c r="J271" s="8"/>
      <c r="N271" s="20"/>
      <c r="R271" s="20"/>
    </row>
    <row r="272" spans="2:18" ht="10.5" hidden="1">
      <c r="B272" s="9" t="s">
        <v>96</v>
      </c>
      <c r="D272" s="19"/>
      <c r="F272" s="20">
        <f>'Базовые концовки'!F24</f>
        <v>0</v>
      </c>
      <c r="G272" s="20"/>
      <c r="H272" s="20"/>
      <c r="J272" s="8"/>
      <c r="N272" s="20"/>
      <c r="R272" s="20"/>
    </row>
    <row r="273" spans="2:18" ht="10.5" hidden="1">
      <c r="B273" s="9" t="s">
        <v>97</v>
      </c>
      <c r="D273" s="19"/>
      <c r="F273" s="20">
        <f>'Базовые концовки'!F25</f>
        <v>0</v>
      </c>
      <c r="G273" s="20"/>
      <c r="H273" s="20"/>
      <c r="J273" s="8"/>
      <c r="N273" s="20"/>
      <c r="R273" s="20"/>
    </row>
    <row r="274" spans="2:18" ht="10.5" hidden="1">
      <c r="B274" s="9" t="s">
        <v>88</v>
      </c>
      <c r="D274" s="19"/>
      <c r="F274" s="20">
        <f>'Базовые концовки'!F26</f>
        <v>0</v>
      </c>
      <c r="G274" s="20"/>
      <c r="H274" s="20"/>
      <c r="J274" s="8"/>
      <c r="N274" s="20"/>
      <c r="R274" s="20"/>
    </row>
    <row r="275" spans="2:18" ht="10.5" hidden="1">
      <c r="B275" s="9" t="s">
        <v>98</v>
      </c>
      <c r="D275" s="19"/>
      <c r="F275" s="20">
        <f>'Базовые концовки'!F27</f>
        <v>0</v>
      </c>
      <c r="G275" s="20"/>
      <c r="H275" s="20"/>
      <c r="J275" s="8"/>
      <c r="N275" s="20"/>
      <c r="R275" s="20"/>
    </row>
    <row r="276" spans="2:18" ht="10.5">
      <c r="B276" s="9" t="s">
        <v>99</v>
      </c>
      <c r="E276" s="41"/>
      <c r="F276" s="42">
        <f>'Базовые концовки'!F28</f>
        <v>17933.27</v>
      </c>
      <c r="G276" s="42">
        <f>'Базовые концовки'!G28</f>
        <v>793.13</v>
      </c>
      <c r="H276" s="21">
        <f>'Базовые концовки'!H28</f>
        <v>2966.45</v>
      </c>
      <c r="I276" s="43"/>
      <c r="J276" s="22">
        <f>'Базовые концовки'!J28</f>
        <v>64.9240728</v>
      </c>
      <c r="N276" s="42">
        <f>'Базовые концовки'!L28</f>
        <v>14173.69</v>
      </c>
      <c r="R276" s="42">
        <f>'Базовые концовки'!M28</f>
        <v>0</v>
      </c>
    </row>
    <row r="277" spans="5:18" ht="10.5">
      <c r="E277" s="41"/>
      <c r="F277" s="42"/>
      <c r="G277" s="42"/>
      <c r="H277" s="20">
        <f>'Базовые концовки'!I28</f>
        <v>556.91</v>
      </c>
      <c r="I277" s="43"/>
      <c r="J277" s="8">
        <f>'Базовые концовки'!K28</f>
        <v>40.674155</v>
      </c>
      <c r="N277" s="42"/>
      <c r="R277" s="42"/>
    </row>
    <row r="278" spans="2:18" ht="10.5" hidden="1">
      <c r="B278" s="9" t="s">
        <v>91</v>
      </c>
      <c r="D278" s="19"/>
      <c r="F278" s="20"/>
      <c r="G278" s="20"/>
      <c r="H278" s="20"/>
      <c r="J278" s="8"/>
      <c r="N278" s="20"/>
      <c r="R278" s="20"/>
    </row>
    <row r="279" spans="2:18" ht="10.5" hidden="1">
      <c r="B279" s="9" t="s">
        <v>100</v>
      </c>
      <c r="D279" s="19"/>
      <c r="F279" s="20">
        <f>'Базовые концовки'!F30</f>
        <v>0</v>
      </c>
      <c r="G279" s="20"/>
      <c r="H279" s="20"/>
      <c r="J279" s="8"/>
      <c r="N279" s="20"/>
      <c r="R279" s="20"/>
    </row>
    <row r="280" spans="2:18" ht="10.5" hidden="1">
      <c r="B280" s="9" t="s">
        <v>95</v>
      </c>
      <c r="D280" s="19"/>
      <c r="F280" s="20">
        <f>'Базовые концовки'!F31</f>
        <v>0</v>
      </c>
      <c r="G280" s="20"/>
      <c r="H280" s="20"/>
      <c r="J280" s="8"/>
      <c r="N280" s="20"/>
      <c r="R280" s="20"/>
    </row>
    <row r="281" spans="2:18" ht="42">
      <c r="B281" s="70" t="s">
        <v>101</v>
      </c>
      <c r="E281" s="19"/>
      <c r="F281" s="20">
        <f>'Базовые концовки'!F32</f>
        <v>1506.64</v>
      </c>
      <c r="G281" s="20"/>
      <c r="H281" s="20"/>
      <c r="J281" s="8"/>
      <c r="N281" s="20"/>
      <c r="R281" s="20"/>
    </row>
    <row r="282" spans="2:18" ht="42">
      <c r="B282" s="70" t="s">
        <v>102</v>
      </c>
      <c r="E282" s="19"/>
      <c r="F282" s="20">
        <f>'Базовые концовки'!F33</f>
        <v>860.64</v>
      </c>
      <c r="G282" s="20"/>
      <c r="H282" s="20"/>
      <c r="J282" s="8"/>
      <c r="N282" s="20"/>
      <c r="R282" s="20"/>
    </row>
    <row r="283" spans="2:18" ht="10.5">
      <c r="B283" s="9" t="s">
        <v>103</v>
      </c>
      <c r="E283" s="19"/>
      <c r="F283" s="20">
        <f>'Базовые концовки'!F34</f>
        <v>20300.55</v>
      </c>
      <c r="G283" s="20"/>
      <c r="H283" s="20"/>
      <c r="J283" s="8"/>
      <c r="N283" s="20"/>
      <c r="R283" s="20"/>
    </row>
    <row r="284" spans="2:18" ht="10.5" hidden="1">
      <c r="B284" s="9" t="s">
        <v>104</v>
      </c>
      <c r="D284" s="19"/>
      <c r="F284" s="20">
        <f>'Базовые концовки'!F35</f>
        <v>0</v>
      </c>
      <c r="G284" s="20">
        <f>'Базовые концовки'!G35</f>
        <v>0</v>
      </c>
      <c r="H284" s="20">
        <f>'Базовые концовки'!H35</f>
        <v>0</v>
      </c>
      <c r="J284" s="8">
        <f>'Базовые концовки'!J35</f>
        <v>0</v>
      </c>
      <c r="N284" s="20">
        <f>'Базовые концовки'!L35</f>
        <v>0</v>
      </c>
      <c r="R284" s="20">
        <f>'Базовые концовки'!M35</f>
        <v>0</v>
      </c>
    </row>
    <row r="285" spans="2:18" ht="10.5" hidden="1">
      <c r="B285" s="9" t="s">
        <v>95</v>
      </c>
      <c r="D285" s="19"/>
      <c r="F285" s="20">
        <f>'Базовые концовки'!F36</f>
        <v>0</v>
      </c>
      <c r="G285" s="20"/>
      <c r="H285" s="20"/>
      <c r="J285" s="8"/>
      <c r="N285" s="20"/>
      <c r="R285" s="20"/>
    </row>
    <row r="286" spans="2:18" ht="10.5" hidden="1">
      <c r="B286" s="9" t="s">
        <v>96</v>
      </c>
      <c r="D286" s="19"/>
      <c r="F286" s="20">
        <f>'Базовые концовки'!F37</f>
        <v>0</v>
      </c>
      <c r="G286" s="20"/>
      <c r="H286" s="20"/>
      <c r="J286" s="8"/>
      <c r="N286" s="20"/>
      <c r="R286" s="20"/>
    </row>
    <row r="287" spans="2:18" ht="10.5" hidden="1">
      <c r="B287" s="9" t="s">
        <v>97</v>
      </c>
      <c r="D287" s="19"/>
      <c r="F287" s="20">
        <f>'Базовые концовки'!F38</f>
        <v>0</v>
      </c>
      <c r="G287" s="20"/>
      <c r="H287" s="20"/>
      <c r="J287" s="8"/>
      <c r="N287" s="20"/>
      <c r="R287" s="20"/>
    </row>
    <row r="288" spans="2:18" ht="10.5" hidden="1">
      <c r="B288" s="9" t="s">
        <v>105</v>
      </c>
      <c r="D288" s="19"/>
      <c r="F288" s="20">
        <f>'Базовые концовки'!F39</f>
        <v>0</v>
      </c>
      <c r="G288" s="20"/>
      <c r="H288" s="20"/>
      <c r="J288" s="8"/>
      <c r="N288" s="20"/>
      <c r="R288" s="20"/>
    </row>
    <row r="289" spans="2:18" ht="10.5" hidden="1">
      <c r="B289" s="9" t="s">
        <v>106</v>
      </c>
      <c r="D289" s="19"/>
      <c r="F289" s="20">
        <f>'Базовые концовки'!F40</f>
        <v>0</v>
      </c>
      <c r="G289" s="20">
        <f>'Базовые концовки'!G40</f>
        <v>0</v>
      </c>
      <c r="H289" s="20">
        <f>'Базовые концовки'!H40</f>
        <v>0</v>
      </c>
      <c r="J289" s="8">
        <f>'Базовые концовки'!J40</f>
        <v>0</v>
      </c>
      <c r="N289" s="20">
        <f>'Базовые концовки'!L40</f>
        <v>0</v>
      </c>
      <c r="R289" s="20">
        <f>'Базовые концовки'!M40</f>
        <v>0</v>
      </c>
    </row>
    <row r="290" spans="2:18" ht="10.5" hidden="1">
      <c r="B290" s="9" t="s">
        <v>91</v>
      </c>
      <c r="D290" s="19"/>
      <c r="F290" s="20"/>
      <c r="G290" s="20"/>
      <c r="H290" s="20"/>
      <c r="J290" s="8"/>
      <c r="N290" s="20"/>
      <c r="R290" s="20"/>
    </row>
    <row r="291" spans="2:18" ht="10.5" hidden="1">
      <c r="B291" s="9" t="s">
        <v>107</v>
      </c>
      <c r="D291" s="19"/>
      <c r="F291" s="20">
        <f>'Базовые концовки'!F42</f>
        <v>0</v>
      </c>
      <c r="G291" s="20"/>
      <c r="H291" s="20"/>
      <c r="J291" s="8"/>
      <c r="N291" s="20"/>
      <c r="R291" s="20"/>
    </row>
    <row r="292" spans="2:18" ht="10.5" hidden="1">
      <c r="B292" s="9" t="s">
        <v>95</v>
      </c>
      <c r="D292" s="19"/>
      <c r="F292" s="20">
        <f>'Базовые концовки'!F43</f>
        <v>0</v>
      </c>
      <c r="G292" s="20"/>
      <c r="H292" s="20"/>
      <c r="J292" s="8"/>
      <c r="N292" s="20"/>
      <c r="R292" s="20"/>
    </row>
    <row r="293" spans="2:18" ht="10.5" hidden="1">
      <c r="B293" s="9" t="s">
        <v>96</v>
      </c>
      <c r="D293" s="19"/>
      <c r="F293" s="20">
        <f>'Базовые концовки'!F44</f>
        <v>0</v>
      </c>
      <c r="G293" s="20"/>
      <c r="H293" s="20"/>
      <c r="J293" s="8"/>
      <c r="N293" s="20"/>
      <c r="R293" s="20"/>
    </row>
    <row r="294" spans="2:18" ht="10.5" hidden="1">
      <c r="B294" s="9" t="s">
        <v>97</v>
      </c>
      <c r="D294" s="19"/>
      <c r="F294" s="20">
        <f>'Базовые концовки'!F45</f>
        <v>0</v>
      </c>
      <c r="G294" s="20"/>
      <c r="H294" s="20"/>
      <c r="J294" s="8"/>
      <c r="N294" s="20"/>
      <c r="R294" s="20"/>
    </row>
    <row r="295" spans="2:18" ht="10.5" hidden="1">
      <c r="B295" s="9" t="s">
        <v>88</v>
      </c>
      <c r="D295" s="19"/>
      <c r="F295" s="20">
        <f>'Базовые концовки'!F46</f>
        <v>0</v>
      </c>
      <c r="G295" s="20"/>
      <c r="H295" s="20"/>
      <c r="J295" s="8"/>
      <c r="N295" s="20"/>
      <c r="R295" s="20"/>
    </row>
    <row r="296" spans="2:18" ht="10.5" hidden="1">
      <c r="B296" s="9" t="s">
        <v>108</v>
      </c>
      <c r="D296" s="19"/>
      <c r="F296" s="20">
        <f>'Базовые концовки'!F47</f>
        <v>0</v>
      </c>
      <c r="G296" s="20"/>
      <c r="H296" s="20"/>
      <c r="J296" s="8"/>
      <c r="N296" s="20"/>
      <c r="R296" s="20"/>
    </row>
    <row r="297" spans="2:18" ht="10.5" hidden="1">
      <c r="B297" s="9" t="s">
        <v>109</v>
      </c>
      <c r="D297" s="19"/>
      <c r="F297" s="20">
        <f>'Базовые концовки'!F48</f>
        <v>0</v>
      </c>
      <c r="G297" s="20">
        <f>'Базовые концовки'!G48</f>
        <v>0</v>
      </c>
      <c r="H297" s="20">
        <f>'Базовые концовки'!H48</f>
        <v>0</v>
      </c>
      <c r="J297" s="8">
        <f>'Базовые концовки'!J48</f>
        <v>0</v>
      </c>
      <c r="N297" s="20">
        <f>'Базовые концовки'!L48</f>
        <v>0</v>
      </c>
      <c r="R297" s="20">
        <f>'Базовые концовки'!M48</f>
        <v>0</v>
      </c>
    </row>
    <row r="298" spans="2:18" ht="10.5" hidden="1">
      <c r="B298" s="9" t="s">
        <v>95</v>
      </c>
      <c r="D298" s="19"/>
      <c r="F298" s="20">
        <f>'Базовые концовки'!F49</f>
        <v>0</v>
      </c>
      <c r="G298" s="20"/>
      <c r="H298" s="20"/>
      <c r="J298" s="8"/>
      <c r="N298" s="20"/>
      <c r="R298" s="20"/>
    </row>
    <row r="299" spans="2:18" ht="10.5" hidden="1">
      <c r="B299" s="9" t="s">
        <v>96</v>
      </c>
      <c r="D299" s="19"/>
      <c r="F299" s="20">
        <f>'Базовые концовки'!F50</f>
        <v>0</v>
      </c>
      <c r="G299" s="20"/>
      <c r="H299" s="20"/>
      <c r="J299" s="8"/>
      <c r="N299" s="20"/>
      <c r="R299" s="20"/>
    </row>
    <row r="300" spans="2:18" ht="10.5" hidden="1">
      <c r="B300" s="9" t="s">
        <v>97</v>
      </c>
      <c r="D300" s="19"/>
      <c r="F300" s="20">
        <f>'Базовые концовки'!F51</f>
        <v>0</v>
      </c>
      <c r="G300" s="20"/>
      <c r="H300" s="20"/>
      <c r="J300" s="8"/>
      <c r="N300" s="20"/>
      <c r="R300" s="20"/>
    </row>
    <row r="301" spans="2:18" ht="10.5" hidden="1">
      <c r="B301" s="9" t="s">
        <v>110</v>
      </c>
      <c r="D301" s="19"/>
      <c r="F301" s="20">
        <f>'Базовые концовки'!F52</f>
        <v>0</v>
      </c>
      <c r="G301" s="20"/>
      <c r="H301" s="20"/>
      <c r="J301" s="8"/>
      <c r="N301" s="20"/>
      <c r="R301" s="20"/>
    </row>
    <row r="302" spans="2:18" ht="10.5" hidden="1">
      <c r="B302" s="9" t="s">
        <v>111</v>
      </c>
      <c r="D302" s="19"/>
      <c r="F302" s="20">
        <f>'Базовые концовки'!F53</f>
        <v>0</v>
      </c>
      <c r="G302" s="20">
        <f>'Базовые концовки'!G53</f>
        <v>0</v>
      </c>
      <c r="H302" s="20">
        <f>'Базовые концовки'!H53</f>
        <v>0</v>
      </c>
      <c r="J302" s="8">
        <f>'Базовые концовки'!J53</f>
        <v>0</v>
      </c>
      <c r="N302" s="20">
        <f>'Базовые концовки'!L53</f>
        <v>0</v>
      </c>
      <c r="R302" s="20">
        <f>'Базовые концовки'!M53</f>
        <v>0</v>
      </c>
    </row>
    <row r="303" spans="2:18" ht="10.5" hidden="1">
      <c r="B303" s="9" t="s">
        <v>95</v>
      </c>
      <c r="D303" s="19"/>
      <c r="F303" s="20">
        <f>'Базовые концовки'!F54</f>
        <v>0</v>
      </c>
      <c r="G303" s="20"/>
      <c r="H303" s="20"/>
      <c r="J303" s="8"/>
      <c r="N303" s="20"/>
      <c r="R303" s="20"/>
    </row>
    <row r="304" spans="2:18" ht="10.5" hidden="1">
      <c r="B304" s="9" t="s">
        <v>96</v>
      </c>
      <c r="D304" s="19"/>
      <c r="F304" s="20">
        <f>'Базовые концовки'!F55</f>
        <v>0</v>
      </c>
      <c r="G304" s="20"/>
      <c r="H304" s="20"/>
      <c r="J304" s="8"/>
      <c r="N304" s="20"/>
      <c r="R304" s="20"/>
    </row>
    <row r="305" spans="2:18" ht="10.5" hidden="1">
      <c r="B305" s="9" t="s">
        <v>97</v>
      </c>
      <c r="D305" s="19"/>
      <c r="F305" s="20">
        <f>'Базовые концовки'!F56</f>
        <v>0</v>
      </c>
      <c r="G305" s="20"/>
      <c r="H305" s="20"/>
      <c r="J305" s="8"/>
      <c r="N305" s="20"/>
      <c r="R305" s="20"/>
    </row>
    <row r="306" spans="2:18" ht="10.5" hidden="1">
      <c r="B306" s="9" t="s">
        <v>112</v>
      </c>
      <c r="D306" s="19"/>
      <c r="F306" s="20">
        <f>'Базовые концовки'!F57</f>
        <v>0</v>
      </c>
      <c r="G306" s="20"/>
      <c r="H306" s="20"/>
      <c r="J306" s="8"/>
      <c r="N306" s="20"/>
      <c r="R306" s="20"/>
    </row>
    <row r="307" spans="2:18" ht="10.5" hidden="1">
      <c r="B307" s="9" t="s">
        <v>113</v>
      </c>
      <c r="D307" s="19"/>
      <c r="F307" s="20">
        <f>'Базовые концовки'!F58</f>
        <v>0</v>
      </c>
      <c r="G307" s="20">
        <f>'Базовые концовки'!G58</f>
        <v>0</v>
      </c>
      <c r="H307" s="20">
        <f>'Базовые концовки'!H58</f>
        <v>0</v>
      </c>
      <c r="J307" s="8">
        <f>'Базовые концовки'!J58</f>
        <v>0</v>
      </c>
      <c r="N307" s="20">
        <f>'Базовые концовки'!L58</f>
        <v>0</v>
      </c>
      <c r="R307" s="20">
        <f>'Базовые концовки'!M58</f>
        <v>0</v>
      </c>
    </row>
    <row r="308" spans="2:18" ht="10.5" hidden="1">
      <c r="B308" s="9" t="s">
        <v>91</v>
      </c>
      <c r="D308" s="19"/>
      <c r="F308" s="20"/>
      <c r="G308" s="20"/>
      <c r="H308" s="20"/>
      <c r="J308" s="8"/>
      <c r="N308" s="20"/>
      <c r="R308" s="20"/>
    </row>
    <row r="309" spans="2:18" ht="10.5" hidden="1">
      <c r="B309" s="9" t="s">
        <v>114</v>
      </c>
      <c r="D309" s="19"/>
      <c r="F309" s="20">
        <f>'Базовые концовки'!F60</f>
        <v>0</v>
      </c>
      <c r="G309" s="20"/>
      <c r="H309" s="20"/>
      <c r="J309" s="8"/>
      <c r="N309" s="20"/>
      <c r="R309" s="20"/>
    </row>
    <row r="310" spans="2:18" ht="10.5" hidden="1">
      <c r="B310" s="9" t="s">
        <v>95</v>
      </c>
      <c r="D310" s="19"/>
      <c r="F310" s="20">
        <f>'Базовые концовки'!F61</f>
        <v>0</v>
      </c>
      <c r="G310" s="20"/>
      <c r="H310" s="20"/>
      <c r="J310" s="8"/>
      <c r="N310" s="20"/>
      <c r="R310" s="20"/>
    </row>
    <row r="311" spans="2:18" ht="10.5" hidden="1">
      <c r="B311" s="9" t="s">
        <v>115</v>
      </c>
      <c r="D311" s="19"/>
      <c r="F311" s="20">
        <f>'Базовые концовки'!F62</f>
        <v>0</v>
      </c>
      <c r="G311" s="20"/>
      <c r="H311" s="20"/>
      <c r="J311" s="8"/>
      <c r="N311" s="20"/>
      <c r="R311" s="20"/>
    </row>
    <row r="312" spans="2:18" ht="10.5" hidden="1">
      <c r="B312" s="9" t="s">
        <v>97</v>
      </c>
      <c r="D312" s="19"/>
      <c r="F312" s="20">
        <f>'Базовые концовки'!F63</f>
        <v>0</v>
      </c>
      <c r="G312" s="20"/>
      <c r="H312" s="20"/>
      <c r="J312" s="8"/>
      <c r="N312" s="20"/>
      <c r="R312" s="20"/>
    </row>
    <row r="313" spans="2:18" ht="10.5" hidden="1">
      <c r="B313" s="9" t="s">
        <v>116</v>
      </c>
      <c r="D313" s="19"/>
      <c r="F313" s="20">
        <f>'Базовые концовки'!F64</f>
        <v>0</v>
      </c>
      <c r="G313" s="20"/>
      <c r="H313" s="20"/>
      <c r="J313" s="8"/>
      <c r="N313" s="20"/>
      <c r="R313" s="20"/>
    </row>
    <row r="314" spans="2:18" ht="10.5" hidden="1">
      <c r="B314" s="9" t="s">
        <v>117</v>
      </c>
      <c r="D314" s="19"/>
      <c r="F314" s="20">
        <f>'Базовые концовки'!F65</f>
        <v>0</v>
      </c>
      <c r="G314" s="20">
        <f>'Базовые концовки'!G65</f>
        <v>0</v>
      </c>
      <c r="H314" s="20">
        <f>'Базовые концовки'!H65</f>
        <v>0</v>
      </c>
      <c r="J314" s="8">
        <f>'Базовые концовки'!J65</f>
        <v>0</v>
      </c>
      <c r="N314" s="20">
        <f>'Базовые концовки'!L65</f>
        <v>0</v>
      </c>
      <c r="R314" s="20">
        <f>'Базовые концовки'!M65</f>
        <v>0</v>
      </c>
    </row>
    <row r="315" spans="2:18" ht="10.5" hidden="1">
      <c r="B315" s="9" t="s">
        <v>115</v>
      </c>
      <c r="D315" s="19"/>
      <c r="F315" s="20">
        <f>'Базовые концовки'!F66</f>
        <v>0</v>
      </c>
      <c r="G315" s="20"/>
      <c r="H315" s="20"/>
      <c r="J315" s="8"/>
      <c r="N315" s="20"/>
      <c r="R315" s="20"/>
    </row>
    <row r="316" spans="2:18" ht="10.5" hidden="1">
      <c r="B316" s="9" t="s">
        <v>97</v>
      </c>
      <c r="D316" s="19"/>
      <c r="F316" s="20">
        <f>'Базовые концовки'!F67</f>
        <v>0</v>
      </c>
      <c r="G316" s="20"/>
      <c r="H316" s="20"/>
      <c r="J316" s="8"/>
      <c r="N316" s="20"/>
      <c r="R316" s="20"/>
    </row>
    <row r="317" spans="2:18" ht="10.5" hidden="1">
      <c r="B317" s="9" t="s">
        <v>118</v>
      </c>
      <c r="D317" s="19"/>
      <c r="F317" s="20">
        <f>'Базовые концовки'!F68</f>
        <v>0</v>
      </c>
      <c r="G317" s="20"/>
      <c r="H317" s="20"/>
      <c r="J317" s="8"/>
      <c r="N317" s="20"/>
      <c r="R317" s="20"/>
    </row>
    <row r="318" spans="2:18" ht="10.5" hidden="1">
      <c r="B318" s="9" t="s">
        <v>119</v>
      </c>
      <c r="D318" s="19"/>
      <c r="F318" s="20">
        <f>'Базовые концовки'!F69</f>
        <v>0</v>
      </c>
      <c r="G318" s="20">
        <f>'Базовые концовки'!G69</f>
        <v>0</v>
      </c>
      <c r="H318" s="20">
        <f>'Базовые концовки'!H69</f>
        <v>0</v>
      </c>
      <c r="J318" s="8">
        <f>'Базовые концовки'!J69</f>
        <v>0</v>
      </c>
      <c r="N318" s="20">
        <f>'Базовые концовки'!L69</f>
        <v>0</v>
      </c>
      <c r="R318" s="20">
        <f>'Базовые концовки'!M69</f>
        <v>0</v>
      </c>
    </row>
    <row r="319" spans="2:18" ht="10.5" hidden="1">
      <c r="B319" s="9" t="s">
        <v>95</v>
      </c>
      <c r="D319" s="19"/>
      <c r="F319" s="20">
        <f>'Базовые концовки'!F70</f>
        <v>0</v>
      </c>
      <c r="G319" s="20"/>
      <c r="H319" s="20"/>
      <c r="J319" s="8"/>
      <c r="N319" s="20"/>
      <c r="R319" s="20"/>
    </row>
    <row r="320" spans="2:18" ht="10.5" hidden="1">
      <c r="B320" s="9" t="s">
        <v>115</v>
      </c>
      <c r="D320" s="19"/>
      <c r="F320" s="20">
        <f>'Базовые концовки'!F71</f>
        <v>0</v>
      </c>
      <c r="G320" s="20"/>
      <c r="H320" s="20"/>
      <c r="J320" s="8"/>
      <c r="N320" s="20"/>
      <c r="R320" s="20"/>
    </row>
    <row r="321" spans="2:18" ht="10.5" hidden="1">
      <c r="B321" s="9" t="s">
        <v>97</v>
      </c>
      <c r="D321" s="19"/>
      <c r="F321" s="20">
        <f>'Базовые концовки'!F72</f>
        <v>0</v>
      </c>
      <c r="G321" s="20"/>
      <c r="H321" s="20"/>
      <c r="J321" s="8"/>
      <c r="N321" s="20"/>
      <c r="R321" s="20"/>
    </row>
    <row r="322" spans="2:18" ht="10.5" hidden="1">
      <c r="B322" s="9" t="s">
        <v>120</v>
      </c>
      <c r="D322" s="19"/>
      <c r="F322" s="20">
        <f>'Базовые концовки'!F73</f>
        <v>0</v>
      </c>
      <c r="G322" s="20"/>
      <c r="H322" s="20"/>
      <c r="J322" s="8"/>
      <c r="N322" s="20"/>
      <c r="R322" s="20"/>
    </row>
    <row r="323" spans="2:18" ht="10.5" hidden="1">
      <c r="B323" s="9" t="s">
        <v>121</v>
      </c>
      <c r="D323" s="19"/>
      <c r="F323" s="20">
        <f>'Базовые концовки'!F74</f>
        <v>0</v>
      </c>
      <c r="G323" s="20">
        <f>'Базовые концовки'!G74</f>
        <v>0</v>
      </c>
      <c r="H323" s="20">
        <f>'Базовые концовки'!H74</f>
        <v>0</v>
      </c>
      <c r="J323" s="8">
        <f>'Базовые концовки'!J74</f>
        <v>0</v>
      </c>
      <c r="N323" s="20">
        <f>'Базовые концовки'!L74</f>
        <v>0</v>
      </c>
      <c r="R323" s="20">
        <f>'Базовые концовки'!M74</f>
        <v>0</v>
      </c>
    </row>
    <row r="324" spans="2:18" ht="10.5" hidden="1">
      <c r="B324" s="9" t="s">
        <v>95</v>
      </c>
      <c r="D324" s="19"/>
      <c r="F324" s="20">
        <f>'Базовые концовки'!F75</f>
        <v>0</v>
      </c>
      <c r="G324" s="20"/>
      <c r="H324" s="20"/>
      <c r="J324" s="8"/>
      <c r="N324" s="20"/>
      <c r="R324" s="20"/>
    </row>
    <row r="325" spans="2:18" ht="10.5">
      <c r="B325" s="9" t="s">
        <v>122</v>
      </c>
      <c r="E325" s="19"/>
      <c r="F325" s="20">
        <f>'Базовые концовки'!F76</f>
        <v>20300.55</v>
      </c>
      <c r="G325" s="20">
        <f>'Базовые концовки'!G76</f>
        <v>0</v>
      </c>
      <c r="H325" s="20">
        <f>'Базовые концовки'!H76</f>
        <v>0</v>
      </c>
      <c r="J325" s="8">
        <f>'Базовые концовки'!J76</f>
        <v>0</v>
      </c>
      <c r="N325" s="20">
        <f>'Базовые концовки'!L76</f>
        <v>0</v>
      </c>
      <c r="R325" s="20">
        <f>'Базовые концовки'!M76</f>
        <v>0</v>
      </c>
    </row>
    <row r="326" spans="2:18" ht="10.5" hidden="1">
      <c r="B326" s="9" t="s">
        <v>123</v>
      </c>
      <c r="D326" s="19"/>
      <c r="F326" s="20">
        <f>'Базовые концовки'!F77</f>
        <v>0</v>
      </c>
      <c r="G326" s="20"/>
      <c r="H326" s="20"/>
      <c r="J326" s="8"/>
      <c r="N326" s="20"/>
      <c r="R326" s="20"/>
    </row>
    <row r="327" spans="2:18" ht="10.5">
      <c r="B327" s="9" t="s">
        <v>124</v>
      </c>
      <c r="E327" s="19"/>
      <c r="F327" s="20">
        <f>'Базовые концовки'!F78</f>
        <v>1506.64</v>
      </c>
      <c r="G327" s="20"/>
      <c r="H327" s="20"/>
      <c r="J327" s="8"/>
      <c r="N327" s="20"/>
      <c r="R327" s="20"/>
    </row>
    <row r="328" spans="2:18" ht="10.5">
      <c r="B328" s="9" t="s">
        <v>125</v>
      </c>
      <c r="E328" s="19"/>
      <c r="F328" s="20">
        <f>'Базовые концовки'!F79</f>
        <v>860.64</v>
      </c>
      <c r="G328" s="20"/>
      <c r="H328" s="20"/>
      <c r="J328" s="8"/>
      <c r="N328" s="20"/>
      <c r="R328" s="20"/>
    </row>
    <row r="329" spans="2:18" ht="10.5" hidden="1">
      <c r="B329" s="9" t="s">
        <v>126</v>
      </c>
      <c r="D329" s="19"/>
      <c r="F329" s="20">
        <f>'Базовые концовки'!F80</f>
        <v>0</v>
      </c>
      <c r="G329" s="20"/>
      <c r="H329" s="20"/>
      <c r="J329" s="8"/>
      <c r="N329" s="20">
        <f>'Базовые концовки'!L80</f>
        <v>0</v>
      </c>
      <c r="R329" s="20"/>
    </row>
    <row r="330" spans="2:18" ht="10.5" hidden="1">
      <c r="B330" s="9" t="s">
        <v>127</v>
      </c>
      <c r="E330" s="19"/>
      <c r="F330" s="20">
        <f>'Базовые концовки'!F81</f>
        <v>793.13</v>
      </c>
      <c r="G330" s="20"/>
      <c r="H330" s="20"/>
      <c r="J330" s="8"/>
      <c r="N330" s="20"/>
      <c r="R330" s="20"/>
    </row>
    <row r="331" spans="2:18" ht="10.5" hidden="1">
      <c r="B331" s="9" t="s">
        <v>128</v>
      </c>
      <c r="E331" s="19"/>
      <c r="F331" s="20">
        <f>'Базовые концовки'!F82</f>
        <v>556.91</v>
      </c>
      <c r="G331" s="20"/>
      <c r="H331" s="20"/>
      <c r="J331" s="8"/>
      <c r="N331" s="20"/>
      <c r="R331" s="20"/>
    </row>
    <row r="332" spans="2:18" ht="10.5" hidden="1">
      <c r="B332" s="9" t="s">
        <v>129</v>
      </c>
      <c r="E332" s="19"/>
      <c r="F332" s="20">
        <f>'Базовые концовки'!F83</f>
        <v>1350.04</v>
      </c>
      <c r="G332" s="20"/>
      <c r="H332" s="20"/>
      <c r="J332" s="8"/>
      <c r="N332" s="20"/>
      <c r="R332" s="20"/>
    </row>
    <row r="333" spans="2:18" ht="10.5" hidden="1">
      <c r="B333" s="9" t="s">
        <v>130</v>
      </c>
      <c r="E333" s="19"/>
      <c r="F333" s="20"/>
      <c r="G333" s="20"/>
      <c r="H333" s="20"/>
      <c r="J333" s="8">
        <f>'Базовые концовки'!J84</f>
        <v>64.9240728</v>
      </c>
      <c r="N333" s="20"/>
      <c r="R333" s="20"/>
    </row>
    <row r="334" spans="2:18" ht="10.5" hidden="1">
      <c r="B334" s="9" t="s">
        <v>131</v>
      </c>
      <c r="E334" s="19"/>
      <c r="F334" s="20"/>
      <c r="G334" s="20"/>
      <c r="H334" s="20"/>
      <c r="J334" s="8">
        <f>'Базовые концовки'!J85</f>
        <v>40.674155</v>
      </c>
      <c r="N334" s="20"/>
      <c r="R334" s="20"/>
    </row>
    <row r="335" spans="2:18" ht="10.5" hidden="1">
      <c r="B335" s="9" t="s">
        <v>132</v>
      </c>
      <c r="E335" s="19"/>
      <c r="F335" s="20"/>
      <c r="G335" s="20"/>
      <c r="H335" s="20"/>
      <c r="J335" s="8">
        <f>'Базовые концовки'!J86</f>
        <v>105.5982278</v>
      </c>
      <c r="N335" s="20"/>
      <c r="R335" s="20"/>
    </row>
    <row r="336" spans="2:18" ht="10.5">
      <c r="B336" s="35" t="s">
        <v>344</v>
      </c>
      <c r="E336" s="19">
        <v>3.95</v>
      </c>
      <c r="F336" s="20">
        <f>F325*E336</f>
        <v>80187.1725</v>
      </c>
      <c r="G336" s="20"/>
      <c r="H336" s="20"/>
      <c r="J336" s="8"/>
      <c r="N336" s="20"/>
      <c r="R336" s="20"/>
    </row>
    <row r="337" spans="2:18" ht="10.5">
      <c r="B337" s="9" t="s">
        <v>134</v>
      </c>
      <c r="E337" s="19">
        <v>18</v>
      </c>
      <c r="F337" s="20">
        <f>F336*0.18</f>
        <v>14433.69105</v>
      </c>
      <c r="G337" s="20"/>
      <c r="H337" s="20"/>
      <c r="J337" s="8"/>
      <c r="N337" s="20"/>
      <c r="R337" s="20"/>
    </row>
    <row r="338" spans="2:18" ht="10.5">
      <c r="B338" s="9" t="s">
        <v>135</v>
      </c>
      <c r="E338" s="19"/>
      <c r="F338" s="20">
        <f>F336+F337</f>
        <v>94620.86355</v>
      </c>
      <c r="G338" s="20"/>
      <c r="H338" s="20"/>
      <c r="J338" s="8"/>
      <c r="N338" s="20"/>
      <c r="R338" s="20"/>
    </row>
    <row r="340" spans="2:12" ht="10.5">
      <c r="B340" s="6" t="s">
        <v>136</v>
      </c>
      <c r="C340" s="39"/>
      <c r="D340" s="39"/>
      <c r="E340" s="39"/>
      <c r="F340" s="39"/>
      <c r="G340" s="39"/>
      <c r="H340" s="39"/>
      <c r="I340" s="39"/>
      <c r="J340" s="39"/>
      <c r="K340" s="39"/>
      <c r="L340" s="39"/>
    </row>
    <row r="341" spans="3:12" ht="10.5">
      <c r="C341" s="40" t="s">
        <v>137</v>
      </c>
      <c r="D341" s="40"/>
      <c r="E341" s="40"/>
      <c r="F341" s="40"/>
      <c r="G341" s="40"/>
      <c r="H341" s="40"/>
      <c r="I341" s="40"/>
      <c r="J341" s="40"/>
      <c r="K341" s="40"/>
      <c r="L341" s="40"/>
    </row>
    <row r="343" spans="2:12" ht="10.5">
      <c r="B343" s="6" t="s">
        <v>138</v>
      </c>
      <c r="C343" s="39"/>
      <c r="D343" s="39"/>
      <c r="E343" s="39"/>
      <c r="F343" s="39"/>
      <c r="G343" s="39"/>
      <c r="H343" s="39"/>
      <c r="I343" s="39"/>
      <c r="J343" s="39"/>
      <c r="K343" s="39"/>
      <c r="L343" s="39"/>
    </row>
    <row r="344" spans="3:12" ht="10.5">
      <c r="C344" s="40" t="s">
        <v>137</v>
      </c>
      <c r="D344" s="40"/>
      <c r="E344" s="40"/>
      <c r="F344" s="40"/>
      <c r="G344" s="40"/>
      <c r="H344" s="40"/>
      <c r="I344" s="40"/>
      <c r="J344" s="40"/>
      <c r="K344" s="40"/>
      <c r="L344" s="40"/>
    </row>
    <row r="345" ht="10.5">
      <c r="A345" s="23"/>
    </row>
  </sheetData>
  <sheetProtection/>
  <mergeCells count="120">
    <mergeCell ref="A5:D5"/>
    <mergeCell ref="F5:I5"/>
    <mergeCell ref="A3:D3"/>
    <mergeCell ref="F3:I3"/>
    <mergeCell ref="A4:B4"/>
    <mergeCell ref="F4:G4"/>
    <mergeCell ref="H18:I18"/>
    <mergeCell ref="H19:I19"/>
    <mergeCell ref="H20:I20"/>
    <mergeCell ref="A6:D6"/>
    <mergeCell ref="F6:I6"/>
    <mergeCell ref="A7:D7"/>
    <mergeCell ref="F7:I7"/>
    <mergeCell ref="A8:D8"/>
    <mergeCell ref="F8:I8"/>
    <mergeCell ref="F24:F25"/>
    <mergeCell ref="G24:G25"/>
    <mergeCell ref="F23:H23"/>
    <mergeCell ref="A9:D9"/>
    <mergeCell ref="F9:I9"/>
    <mergeCell ref="A13:J13"/>
    <mergeCell ref="A14:J14"/>
    <mergeCell ref="A15:J15"/>
    <mergeCell ref="A21:J21"/>
    <mergeCell ref="H17:I17"/>
    <mergeCell ref="I23:J23"/>
    <mergeCell ref="I24:J24"/>
    <mergeCell ref="A27:A28"/>
    <mergeCell ref="B27:B28"/>
    <mergeCell ref="C27:C28"/>
    <mergeCell ref="G27:G28"/>
    <mergeCell ref="A23:A25"/>
    <mergeCell ref="B23:B25"/>
    <mergeCell ref="C23:C25"/>
    <mergeCell ref="D23:E23"/>
    <mergeCell ref="N27:N28"/>
    <mergeCell ref="F27:F28"/>
    <mergeCell ref="A46:A47"/>
    <mergeCell ref="B46:B47"/>
    <mergeCell ref="C46:C47"/>
    <mergeCell ref="G46:G47"/>
    <mergeCell ref="N46:N47"/>
    <mergeCell ref="F46:F47"/>
    <mergeCell ref="N84:N85"/>
    <mergeCell ref="F84:F85"/>
    <mergeCell ref="A65:A66"/>
    <mergeCell ref="B65:B66"/>
    <mergeCell ref="C65:C66"/>
    <mergeCell ref="G65:G66"/>
    <mergeCell ref="N65:N66"/>
    <mergeCell ref="F65:F66"/>
    <mergeCell ref="A84:A85"/>
    <mergeCell ref="B84:B85"/>
    <mergeCell ref="C84:C85"/>
    <mergeCell ref="G84:G85"/>
    <mergeCell ref="N121:N122"/>
    <mergeCell ref="F121:F122"/>
    <mergeCell ref="A103:A104"/>
    <mergeCell ref="B103:B104"/>
    <mergeCell ref="C103:C104"/>
    <mergeCell ref="G103:G104"/>
    <mergeCell ref="N103:N104"/>
    <mergeCell ref="F103:F104"/>
    <mergeCell ref="A121:A122"/>
    <mergeCell ref="B121:B122"/>
    <mergeCell ref="C121:C122"/>
    <mergeCell ref="G121:G122"/>
    <mergeCell ref="B123:J123"/>
    <mergeCell ref="A141:A142"/>
    <mergeCell ref="B141:B142"/>
    <mergeCell ref="C141:C142"/>
    <mergeCell ref="G141:G142"/>
    <mergeCell ref="N141:N142"/>
    <mergeCell ref="F141:F142"/>
    <mergeCell ref="A159:A160"/>
    <mergeCell ref="B159:B160"/>
    <mergeCell ref="C159:C160"/>
    <mergeCell ref="G159:G160"/>
    <mergeCell ref="N159:N160"/>
    <mergeCell ref="F159:F160"/>
    <mergeCell ref="N197:N198"/>
    <mergeCell ref="F197:F198"/>
    <mergeCell ref="A178:A179"/>
    <mergeCell ref="B178:B179"/>
    <mergeCell ref="C178:C179"/>
    <mergeCell ref="G178:G179"/>
    <mergeCell ref="N178:N179"/>
    <mergeCell ref="F178:F179"/>
    <mergeCell ref="A197:A198"/>
    <mergeCell ref="B197:B198"/>
    <mergeCell ref="C197:C198"/>
    <mergeCell ref="G197:G198"/>
    <mergeCell ref="N235:N236"/>
    <mergeCell ref="F235:F236"/>
    <mergeCell ref="A216:A217"/>
    <mergeCell ref="B216:B217"/>
    <mergeCell ref="C216:C217"/>
    <mergeCell ref="G216:G217"/>
    <mergeCell ref="N216:N217"/>
    <mergeCell ref="F216:F217"/>
    <mergeCell ref="A235:A236"/>
    <mergeCell ref="B235:B236"/>
    <mergeCell ref="C235:C236"/>
    <mergeCell ref="G235:G236"/>
    <mergeCell ref="R276:R277"/>
    <mergeCell ref="E254:E255"/>
    <mergeCell ref="F254:F255"/>
    <mergeCell ref="G254:G255"/>
    <mergeCell ref="N254:N255"/>
    <mergeCell ref="I254:I255"/>
    <mergeCell ref="R254:R255"/>
    <mergeCell ref="E276:E277"/>
    <mergeCell ref="F276:F277"/>
    <mergeCell ref="G276:G277"/>
    <mergeCell ref="N276:N277"/>
    <mergeCell ref="I276:I277"/>
    <mergeCell ref="C340:L340"/>
    <mergeCell ref="C341:L341"/>
    <mergeCell ref="C343:L343"/>
    <mergeCell ref="C344:L344"/>
  </mergeCells>
  <printOptions/>
  <pageMargins left="0.39370078740157477" right="0.39370078740157477" top="0.7874015748031495" bottom="0.39370078740157477" header="0.7874015748031495" footer="0.3937007874015747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D17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5" customWidth="1"/>
    <col min="2" max="16384" width="9.140625" style="24" customWidth="1"/>
  </cols>
  <sheetData>
    <row r="1" spans="1:30" s="26" customFormat="1" ht="10.5">
      <c r="A1" s="8"/>
      <c r="B1" s="26" t="s">
        <v>139</v>
      </c>
      <c r="C1" s="26" t="s">
        <v>140</v>
      </c>
      <c r="D1" s="26" t="s">
        <v>141</v>
      </c>
      <c r="E1" s="26" t="s">
        <v>142</v>
      </c>
      <c r="F1" s="26" t="s">
        <v>143</v>
      </c>
      <c r="G1" s="26" t="s">
        <v>144</v>
      </c>
      <c r="H1" s="26" t="s">
        <v>145</v>
      </c>
      <c r="I1" s="26" t="s">
        <v>146</v>
      </c>
      <c r="J1" s="26" t="s">
        <v>147</v>
      </c>
      <c r="K1" s="26" t="s">
        <v>148</v>
      </c>
      <c r="L1" s="26" t="s">
        <v>149</v>
      </c>
      <c r="M1" s="26" t="s">
        <v>150</v>
      </c>
      <c r="N1" s="26" t="s">
        <v>151</v>
      </c>
      <c r="O1" s="26" t="s">
        <v>152</v>
      </c>
      <c r="P1" s="26" t="s">
        <v>153</v>
      </c>
      <c r="Q1" s="26" t="s">
        <v>154</v>
      </c>
      <c r="R1" s="26" t="s">
        <v>155</v>
      </c>
      <c r="S1" s="26" t="s">
        <v>156</v>
      </c>
      <c r="T1" s="26" t="s">
        <v>157</v>
      </c>
      <c r="U1" s="26" t="s">
        <v>158</v>
      </c>
      <c r="V1" s="26" t="s">
        <v>159</v>
      </c>
      <c r="X1" s="26" t="s">
        <v>160</v>
      </c>
      <c r="Y1" s="26" t="s">
        <v>161</v>
      </c>
      <c r="Z1" s="26" t="s">
        <v>162</v>
      </c>
      <c r="AA1" s="26" t="s">
        <v>163</v>
      </c>
      <c r="AB1" s="26" t="s">
        <v>164</v>
      </c>
      <c r="AC1" s="26" t="s">
        <v>165</v>
      </c>
      <c r="AD1" s="26" t="s">
        <v>166</v>
      </c>
    </row>
    <row r="2" spans="1:10" ht="10.5">
      <c r="A2" s="61"/>
      <c r="B2" s="62"/>
      <c r="C2" s="62"/>
      <c r="D2" s="62"/>
      <c r="E2" s="62"/>
      <c r="F2" s="62"/>
      <c r="G2" s="62"/>
      <c r="H2" s="62"/>
      <c r="I2" s="62"/>
      <c r="J2" s="62"/>
    </row>
    <row r="3" spans="1:10" ht="10.5">
      <c r="A3" s="27"/>
      <c r="B3" s="63" t="s">
        <v>167</v>
      </c>
      <c r="C3" s="63"/>
      <c r="D3" s="63"/>
      <c r="E3" s="63"/>
      <c r="F3" s="63"/>
      <c r="G3" s="63"/>
      <c r="H3" s="63"/>
      <c r="I3" s="63"/>
      <c r="J3" s="63"/>
    </row>
    <row r="4" spans="1:10" ht="10.5">
      <c r="A4" s="27"/>
      <c r="B4" s="63" t="s">
        <v>168</v>
      </c>
      <c r="C4" s="63"/>
      <c r="D4" s="63"/>
      <c r="E4" s="63"/>
      <c r="F4" s="63"/>
      <c r="G4" s="63"/>
      <c r="H4" s="63"/>
      <c r="I4" s="63"/>
      <c r="J4" s="63"/>
    </row>
    <row r="5" spans="1:10" ht="10.5">
      <c r="A5" s="61"/>
      <c r="B5" s="62"/>
      <c r="C5" s="62"/>
      <c r="D5" s="62"/>
      <c r="E5" s="62"/>
      <c r="F5" s="62"/>
      <c r="G5" s="62"/>
      <c r="H5" s="62"/>
      <c r="I5" s="62"/>
      <c r="J5" s="62"/>
    </row>
    <row r="6" spans="1:30" ht="10.5">
      <c r="A6" s="24" t="str">
        <f>'Форма 4'!A27</f>
        <v>1.</v>
      </c>
      <c r="B6" s="24">
        <f aca="true" t="shared" si="0" ref="B6:B17">ROUND(C6+D6+F6,2)</f>
        <v>4342.25</v>
      </c>
      <c r="C6" s="24">
        <v>130.35</v>
      </c>
      <c r="D6" s="24">
        <v>4211.9</v>
      </c>
      <c r="E6" s="24">
        <v>472.1</v>
      </c>
      <c r="F6" s="24">
        <v>0</v>
      </c>
      <c r="G6" s="24">
        <v>0</v>
      </c>
      <c r="H6" s="24">
        <v>0</v>
      </c>
      <c r="I6" s="25">
        <f>'Форма 4'!I27</f>
        <v>15.203</v>
      </c>
      <c r="J6" s="25">
        <v>0</v>
      </c>
      <c r="K6" s="25">
        <f>'Форма 4'!I28</f>
        <v>43.365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0</v>
      </c>
      <c r="AD6" s="24">
        <v>0</v>
      </c>
    </row>
    <row r="7" spans="1:30" ht="10.5">
      <c r="A7" s="24" t="str">
        <f>'Форма 4'!A46</f>
        <v>2.</v>
      </c>
      <c r="B7" s="24">
        <f t="shared" si="0"/>
        <v>2445.28</v>
      </c>
      <c r="C7" s="24">
        <v>2445.28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5">
        <f>'Форма 4'!I46</f>
        <v>342.24</v>
      </c>
      <c r="J7" s="25">
        <v>0</v>
      </c>
      <c r="K7" s="25">
        <f>'Форма 4'!I47</f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</row>
    <row r="8" spans="1:30" ht="10.5">
      <c r="A8" s="24" t="str">
        <f>'Форма 4'!A65</f>
        <v>3.</v>
      </c>
      <c r="B8" s="24">
        <f t="shared" si="0"/>
        <v>79.96</v>
      </c>
      <c r="C8" s="24">
        <v>14.26</v>
      </c>
      <c r="D8" s="24">
        <v>62.5</v>
      </c>
      <c r="E8" s="24">
        <v>9.51</v>
      </c>
      <c r="F8" s="24">
        <v>3.2</v>
      </c>
      <c r="G8" s="24">
        <v>0</v>
      </c>
      <c r="H8" s="24">
        <v>0</v>
      </c>
      <c r="I8" s="25">
        <f>'Форма 4'!I65</f>
        <v>0.95872</v>
      </c>
      <c r="J8" s="25">
        <v>0</v>
      </c>
      <c r="K8" s="25">
        <f>'Форма 4'!I66</f>
        <v>0.46608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</row>
    <row r="9" spans="1:30" ht="10.5">
      <c r="A9" s="24" t="str">
        <f>'Форма 4'!A84</f>
        <v>4.</v>
      </c>
      <c r="B9" s="24">
        <f t="shared" si="0"/>
        <v>2067.95</v>
      </c>
      <c r="C9" s="24">
        <v>0</v>
      </c>
      <c r="D9" s="24">
        <v>2067.95</v>
      </c>
      <c r="E9" s="24">
        <v>1184.21</v>
      </c>
      <c r="F9" s="24">
        <v>0</v>
      </c>
      <c r="G9" s="24">
        <v>0</v>
      </c>
      <c r="H9" s="24">
        <v>0</v>
      </c>
      <c r="I9" s="25">
        <f>'Форма 4'!I84</f>
        <v>0</v>
      </c>
      <c r="J9" s="25">
        <v>0</v>
      </c>
      <c r="K9" s="25">
        <f>'Форма 4'!I85</f>
        <v>121.51425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</row>
    <row r="10" spans="1:30" ht="10.5">
      <c r="A10" s="24" t="str">
        <f>'Форма 4'!A103</f>
        <v>5.</v>
      </c>
      <c r="B10" s="24">
        <f t="shared" si="0"/>
        <v>327.73</v>
      </c>
      <c r="C10" s="24">
        <v>71.41</v>
      </c>
      <c r="D10" s="24">
        <v>252.16</v>
      </c>
      <c r="E10" s="24">
        <v>28.25</v>
      </c>
      <c r="F10" s="24">
        <v>4.16</v>
      </c>
      <c r="G10" s="24">
        <v>0</v>
      </c>
      <c r="H10" s="24">
        <v>0</v>
      </c>
      <c r="I10" s="25">
        <f>'Форма 4'!I103</f>
        <v>6.68</v>
      </c>
      <c r="J10" s="25">
        <v>0</v>
      </c>
      <c r="K10" s="25">
        <f>'Форма 4'!I104</f>
        <v>1.73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</row>
    <row r="11" spans="1:30" ht="10.5">
      <c r="A11" s="24" t="str">
        <f>'Форма 4'!A121</f>
        <v>6.</v>
      </c>
      <c r="B11" s="24">
        <f t="shared" si="0"/>
        <v>936.36</v>
      </c>
      <c r="C11" s="24">
        <v>222.04</v>
      </c>
      <c r="D11" s="24">
        <v>652.03</v>
      </c>
      <c r="E11" s="24">
        <v>63.31</v>
      </c>
      <c r="F11" s="24">
        <v>62.29</v>
      </c>
      <c r="G11" s="24">
        <v>0</v>
      </c>
      <c r="H11" s="24">
        <v>0</v>
      </c>
      <c r="I11" s="25">
        <f>'Форма 4'!I121</f>
        <v>19.228</v>
      </c>
      <c r="J11" s="25">
        <v>0</v>
      </c>
      <c r="K11" s="25">
        <f>'Форма 4'!I122</f>
        <v>5.0375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</row>
    <row r="12" spans="1:30" ht="10.5">
      <c r="A12" s="24" t="str">
        <f>'Форма 4'!A141</f>
        <v>7.</v>
      </c>
      <c r="B12" s="24">
        <f t="shared" si="0"/>
        <v>7004.73</v>
      </c>
      <c r="C12" s="24">
        <v>0</v>
      </c>
      <c r="D12" s="24">
        <v>0</v>
      </c>
      <c r="E12" s="24">
        <v>0</v>
      </c>
      <c r="F12" s="24">
        <v>7004.73</v>
      </c>
      <c r="G12" s="24">
        <v>0</v>
      </c>
      <c r="H12" s="24">
        <v>0</v>
      </c>
      <c r="I12" s="25">
        <f>'Форма 4'!I141</f>
        <v>0</v>
      </c>
      <c r="J12" s="25">
        <v>0</v>
      </c>
      <c r="K12" s="25">
        <f>'Форма 4'!I142</f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</row>
    <row r="13" spans="1:30" ht="10.5">
      <c r="A13" s="24" t="str">
        <f>'Форма 4'!A159</f>
        <v>8.</v>
      </c>
      <c r="B13" s="24">
        <f t="shared" si="0"/>
        <v>337.64</v>
      </c>
      <c r="C13" s="24">
        <v>77.21</v>
      </c>
      <c r="D13" s="24">
        <v>10.07</v>
      </c>
      <c r="E13" s="24">
        <v>0.12</v>
      </c>
      <c r="F13" s="24">
        <v>250.36</v>
      </c>
      <c r="G13" s="24">
        <v>0</v>
      </c>
      <c r="H13" s="24">
        <v>0</v>
      </c>
      <c r="I13" s="25">
        <f>'Форма 4'!I159</f>
        <v>6.71715</v>
      </c>
      <c r="J13" s="25">
        <v>0</v>
      </c>
      <c r="K13" s="25">
        <f>'Форма 4'!I160</f>
        <v>0.0125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</row>
    <row r="14" spans="1:30" ht="10.5">
      <c r="A14" s="24" t="str">
        <f>'Форма 4'!A178</f>
        <v>9.</v>
      </c>
      <c r="B14" s="24">
        <f t="shared" si="0"/>
        <v>422.16</v>
      </c>
      <c r="C14" s="24">
        <v>35.71</v>
      </c>
      <c r="D14" s="24">
        <v>13.04</v>
      </c>
      <c r="E14" s="24">
        <v>0.12</v>
      </c>
      <c r="F14" s="24">
        <v>373.41</v>
      </c>
      <c r="G14" s="24">
        <v>0</v>
      </c>
      <c r="H14" s="24">
        <v>0</v>
      </c>
      <c r="I14" s="25">
        <f>'Форма 4'!I178</f>
        <v>7.2864</v>
      </c>
      <c r="J14" s="25">
        <v>0</v>
      </c>
      <c r="K14" s="25">
        <f>'Форма 4'!I179</f>
        <v>0.025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</row>
    <row r="15" spans="1:30" ht="10.5">
      <c r="A15" s="24" t="str">
        <f>'Форма 4'!A197</f>
        <v>10.</v>
      </c>
      <c r="B15" s="24">
        <f t="shared" si="0"/>
        <v>79.96</v>
      </c>
      <c r="C15" s="24">
        <v>14.26</v>
      </c>
      <c r="D15" s="24">
        <v>62.5</v>
      </c>
      <c r="E15" s="24">
        <v>9.51</v>
      </c>
      <c r="F15" s="24">
        <v>3.2</v>
      </c>
      <c r="G15" s="24">
        <v>0</v>
      </c>
      <c r="H15" s="24">
        <v>0</v>
      </c>
      <c r="I15" s="25">
        <f>'Форма 4'!I197</f>
        <v>1.37816</v>
      </c>
      <c r="J15" s="25">
        <v>0</v>
      </c>
      <c r="K15" s="25">
        <f>'Форма 4'!I198</f>
        <v>0.72825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</row>
    <row r="16" spans="1:30" ht="10.5">
      <c r="A16" s="24" t="str">
        <f>'Форма 4'!A216</f>
        <v>11.</v>
      </c>
      <c r="B16" s="24">
        <f t="shared" si="0"/>
        <v>921.46</v>
      </c>
      <c r="C16" s="24">
        <v>921.46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5">
        <f>'Форма 4'!I216</f>
        <v>111.78</v>
      </c>
      <c r="J16" s="25">
        <v>0</v>
      </c>
      <c r="K16" s="25">
        <f>'Форма 4'!I217</f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</row>
    <row r="17" spans="1:30" ht="10.5">
      <c r="A17" s="24" t="str">
        <f>'Форма 4'!A235</f>
        <v>12.</v>
      </c>
      <c r="B17" s="24">
        <f t="shared" si="0"/>
        <v>633.41</v>
      </c>
      <c r="C17" s="24">
        <v>0</v>
      </c>
      <c r="D17" s="24">
        <v>633.41</v>
      </c>
      <c r="E17" s="24">
        <v>124.36</v>
      </c>
      <c r="F17" s="24">
        <v>0</v>
      </c>
      <c r="G17" s="24">
        <v>0</v>
      </c>
      <c r="H17" s="24">
        <v>0</v>
      </c>
      <c r="I17" s="25">
        <f>'Форма 4'!I235</f>
        <v>0</v>
      </c>
      <c r="J17" s="25">
        <v>0</v>
      </c>
      <c r="K17" s="25">
        <f>'Форма 4'!I236</f>
        <v>11.0875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D17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5" customWidth="1"/>
    <col min="2" max="16384" width="9.140625" style="24" customWidth="1"/>
  </cols>
  <sheetData>
    <row r="1" spans="1:30" s="26" customFormat="1" ht="10.5">
      <c r="A1" s="8"/>
      <c r="B1" s="26" t="s">
        <v>139</v>
      </c>
      <c r="C1" s="26" t="s">
        <v>140</v>
      </c>
      <c r="D1" s="26" t="s">
        <v>141</v>
      </c>
      <c r="E1" s="26" t="s">
        <v>142</v>
      </c>
      <c r="F1" s="26" t="s">
        <v>143</v>
      </c>
      <c r="G1" s="26" t="s">
        <v>144</v>
      </c>
      <c r="H1" s="26" t="s">
        <v>145</v>
      </c>
      <c r="I1" s="26" t="s">
        <v>146</v>
      </c>
      <c r="J1" s="26" t="s">
        <v>147</v>
      </c>
      <c r="K1" s="26" t="s">
        <v>148</v>
      </c>
      <c r="L1" s="26" t="s">
        <v>149</v>
      </c>
      <c r="M1" s="26" t="s">
        <v>150</v>
      </c>
      <c r="N1" s="26" t="s">
        <v>151</v>
      </c>
      <c r="O1" s="26" t="s">
        <v>152</v>
      </c>
      <c r="P1" s="26" t="s">
        <v>153</v>
      </c>
      <c r="Q1" s="26" t="s">
        <v>154</v>
      </c>
      <c r="R1" s="26" t="s">
        <v>155</v>
      </c>
      <c r="S1" s="26" t="s">
        <v>156</v>
      </c>
      <c r="T1" s="26" t="s">
        <v>157</v>
      </c>
      <c r="U1" s="26" t="s">
        <v>158</v>
      </c>
      <c r="V1" s="26" t="s">
        <v>159</v>
      </c>
      <c r="X1" s="26" t="s">
        <v>160</v>
      </c>
      <c r="Y1" s="26" t="s">
        <v>161</v>
      </c>
      <c r="Z1" s="26" t="s">
        <v>162</v>
      </c>
      <c r="AA1" s="26" t="s">
        <v>163</v>
      </c>
      <c r="AB1" s="26" t="s">
        <v>164</v>
      </c>
      <c r="AC1" s="26" t="s">
        <v>165</v>
      </c>
      <c r="AD1" s="26" t="s">
        <v>166</v>
      </c>
    </row>
    <row r="2" spans="1:10" ht="10.5">
      <c r="A2" s="61"/>
      <c r="B2" s="62"/>
      <c r="C2" s="62"/>
      <c r="D2" s="62"/>
      <c r="E2" s="62"/>
      <c r="F2" s="62"/>
      <c r="G2" s="62"/>
      <c r="H2" s="62"/>
      <c r="I2" s="62"/>
      <c r="J2" s="62"/>
    </row>
    <row r="3" spans="1:10" ht="10.5">
      <c r="A3" s="27"/>
      <c r="B3" s="63" t="s">
        <v>167</v>
      </c>
      <c r="C3" s="63"/>
      <c r="D3" s="63"/>
      <c r="E3" s="63"/>
      <c r="F3" s="63"/>
      <c r="G3" s="63"/>
      <c r="H3" s="63"/>
      <c r="I3" s="63"/>
      <c r="J3" s="63"/>
    </row>
    <row r="4" spans="1:10" ht="10.5">
      <c r="A4" s="27"/>
      <c r="B4" s="63" t="s">
        <v>168</v>
      </c>
      <c r="C4" s="63"/>
      <c r="D4" s="63"/>
      <c r="E4" s="63"/>
      <c r="F4" s="63"/>
      <c r="G4" s="63"/>
      <c r="H4" s="63"/>
      <c r="I4" s="63"/>
      <c r="J4" s="63"/>
    </row>
    <row r="5" spans="1:10" ht="10.5">
      <c r="A5" s="61"/>
      <c r="B5" s="62"/>
      <c r="C5" s="62"/>
      <c r="D5" s="62"/>
      <c r="E5" s="62"/>
      <c r="F5" s="62"/>
      <c r="G5" s="62"/>
      <c r="H5" s="62"/>
      <c r="I5" s="62"/>
      <c r="J5" s="62"/>
    </row>
    <row r="6" spans="1:30" ht="10.5">
      <c r="A6" s="24" t="str">
        <f>'Форма 4'!A27</f>
        <v>1.</v>
      </c>
      <c r="B6" s="24">
        <f aca="true" t="shared" si="0" ref="B6:B17">ROUND(C6+D6+F6,2)</f>
        <v>6467.75</v>
      </c>
      <c r="C6" s="24">
        <v>149.9</v>
      </c>
      <c r="D6" s="24">
        <v>6317.85</v>
      </c>
      <c r="E6" s="24">
        <v>708.15</v>
      </c>
      <c r="F6" s="24">
        <v>0</v>
      </c>
      <c r="G6" s="24">
        <v>0</v>
      </c>
      <c r="H6" s="24">
        <v>0</v>
      </c>
      <c r="I6" s="25">
        <f>'Форма 4'!I27</f>
        <v>15.203</v>
      </c>
      <c r="J6" s="25">
        <v>0</v>
      </c>
      <c r="K6" s="25">
        <f>'Форма 4'!I28</f>
        <v>43.365</v>
      </c>
      <c r="L6" s="24">
        <v>0</v>
      </c>
      <c r="M6" s="24">
        <v>0</v>
      </c>
      <c r="N6" s="24">
        <v>815.1475</v>
      </c>
      <c r="O6" s="24">
        <v>368.9615</v>
      </c>
      <c r="P6" s="24">
        <v>142.405</v>
      </c>
      <c r="Q6" s="24">
        <v>672.7425</v>
      </c>
      <c r="R6" s="24">
        <v>64.457</v>
      </c>
      <c r="S6" s="24">
        <v>304.5045</v>
      </c>
      <c r="T6" s="24">
        <v>0</v>
      </c>
      <c r="U6" s="24">
        <v>0</v>
      </c>
      <c r="V6" s="24">
        <v>0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0</v>
      </c>
      <c r="AD6" s="24">
        <v>0</v>
      </c>
    </row>
    <row r="7" spans="1:30" ht="10.5">
      <c r="A7" s="24" t="str">
        <f>'Форма 4'!A46</f>
        <v>2.</v>
      </c>
      <c r="B7" s="24">
        <f t="shared" si="0"/>
        <v>3374.49</v>
      </c>
      <c r="C7" s="24">
        <v>3374.49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5">
        <f>'Форма 4'!I46</f>
        <v>342.24</v>
      </c>
      <c r="J7" s="25">
        <v>0</v>
      </c>
      <c r="K7" s="25">
        <f>'Форма 4'!I47</f>
        <v>0</v>
      </c>
      <c r="L7" s="24">
        <v>0</v>
      </c>
      <c r="M7" s="24">
        <v>0</v>
      </c>
      <c r="N7" s="24">
        <v>2699.592</v>
      </c>
      <c r="O7" s="24">
        <v>1282.3062</v>
      </c>
      <c r="P7" s="24">
        <v>2699.592</v>
      </c>
      <c r="Q7" s="24">
        <v>0</v>
      </c>
      <c r="R7" s="24">
        <v>1282.3062</v>
      </c>
      <c r="S7" s="24">
        <v>0</v>
      </c>
      <c r="T7" s="24">
        <v>0</v>
      </c>
      <c r="U7" s="24">
        <v>0</v>
      </c>
      <c r="V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</row>
    <row r="8" spans="1:30" ht="10.5">
      <c r="A8" s="24" t="str">
        <f>'Форма 4'!A65</f>
        <v>3.</v>
      </c>
      <c r="B8" s="24">
        <f t="shared" si="0"/>
        <v>61.41</v>
      </c>
      <c r="C8" s="24">
        <v>11.41</v>
      </c>
      <c r="D8" s="24">
        <v>50</v>
      </c>
      <c r="E8" s="24">
        <v>7.61</v>
      </c>
      <c r="F8" s="24">
        <v>0</v>
      </c>
      <c r="G8" s="24">
        <v>0</v>
      </c>
      <c r="H8" s="24">
        <v>0</v>
      </c>
      <c r="I8" s="25">
        <f>'Форма 4'!I65</f>
        <v>0.95872</v>
      </c>
      <c r="J8" s="25">
        <v>0</v>
      </c>
      <c r="K8" s="25">
        <f>'Форма 4'!I66</f>
        <v>0.46608</v>
      </c>
      <c r="L8" s="24">
        <v>0</v>
      </c>
      <c r="M8" s="24">
        <v>0</v>
      </c>
      <c r="N8" s="24">
        <v>22.2534</v>
      </c>
      <c r="O8" s="24">
        <v>13.6944</v>
      </c>
      <c r="P8" s="24">
        <v>13.3497</v>
      </c>
      <c r="Q8" s="24">
        <v>8.9037</v>
      </c>
      <c r="R8" s="24">
        <v>8.2152</v>
      </c>
      <c r="S8" s="24">
        <v>5.4792</v>
      </c>
      <c r="T8" s="24">
        <v>0</v>
      </c>
      <c r="U8" s="24">
        <v>0</v>
      </c>
      <c r="V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</row>
    <row r="9" spans="1:30" ht="10.5">
      <c r="A9" s="24" t="str">
        <f>'Форма 4'!A84</f>
        <v>4.</v>
      </c>
      <c r="B9" s="24">
        <f t="shared" si="0"/>
        <v>2584.94</v>
      </c>
      <c r="C9" s="24">
        <v>0</v>
      </c>
      <c r="D9" s="24">
        <v>2584.94</v>
      </c>
      <c r="E9" s="24">
        <v>1480.26</v>
      </c>
      <c r="F9" s="24">
        <v>0</v>
      </c>
      <c r="G9" s="24">
        <v>0</v>
      </c>
      <c r="H9" s="24">
        <v>0</v>
      </c>
      <c r="I9" s="25">
        <f>'Форма 4'!I84</f>
        <v>0</v>
      </c>
      <c r="J9" s="25">
        <v>0</v>
      </c>
      <c r="K9" s="25">
        <f>'Форма 4'!I85</f>
        <v>121.51425</v>
      </c>
      <c r="L9" s="24">
        <v>0</v>
      </c>
      <c r="M9" s="24">
        <v>0</v>
      </c>
      <c r="N9" s="24">
        <v>1184.208</v>
      </c>
      <c r="O9" s="24">
        <v>562.4988</v>
      </c>
      <c r="P9" s="24">
        <v>0</v>
      </c>
      <c r="Q9" s="24">
        <v>1184.208</v>
      </c>
      <c r="R9" s="24">
        <v>0</v>
      </c>
      <c r="S9" s="24">
        <v>562.4988</v>
      </c>
      <c r="T9" s="24">
        <v>0</v>
      </c>
      <c r="U9" s="24">
        <v>0</v>
      </c>
      <c r="V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</row>
    <row r="10" spans="1:30" ht="10.5">
      <c r="A10" s="24" t="str">
        <f>'Форма 4'!A103</f>
        <v>5.</v>
      </c>
      <c r="B10" s="24">
        <f t="shared" si="0"/>
        <v>327.73</v>
      </c>
      <c r="C10" s="24">
        <v>71.41</v>
      </c>
      <c r="D10" s="24">
        <v>252.16</v>
      </c>
      <c r="E10" s="24">
        <v>28.25</v>
      </c>
      <c r="F10" s="24">
        <v>4.16</v>
      </c>
      <c r="G10" s="24">
        <v>0</v>
      </c>
      <c r="H10" s="24">
        <v>0</v>
      </c>
      <c r="I10" s="25">
        <f>'Форма 4'!I103</f>
        <v>6.68</v>
      </c>
      <c r="J10" s="25">
        <v>0</v>
      </c>
      <c r="K10" s="25">
        <f>'Форма 4'!I104</f>
        <v>1.73</v>
      </c>
      <c r="L10" s="24">
        <v>0</v>
      </c>
      <c r="M10" s="24">
        <v>0</v>
      </c>
      <c r="N10" s="24">
        <v>107.6328</v>
      </c>
      <c r="O10" s="24">
        <v>67.7688</v>
      </c>
      <c r="P10" s="24">
        <v>77.1228</v>
      </c>
      <c r="Q10" s="24">
        <v>30.51</v>
      </c>
      <c r="R10" s="24">
        <v>48.5588</v>
      </c>
      <c r="S10" s="24">
        <v>19.21</v>
      </c>
      <c r="T10" s="24">
        <v>0</v>
      </c>
      <c r="U10" s="24">
        <v>0</v>
      </c>
      <c r="V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</row>
    <row r="11" spans="1:30" ht="10.5">
      <c r="A11" s="24" t="str">
        <f>'Форма 4'!A121</f>
        <v>6.</v>
      </c>
      <c r="B11" s="24">
        <f t="shared" si="0"/>
        <v>1132.68</v>
      </c>
      <c r="C11" s="24">
        <v>255.35</v>
      </c>
      <c r="D11" s="24">
        <v>815.04</v>
      </c>
      <c r="E11" s="24">
        <v>79.14</v>
      </c>
      <c r="F11" s="24">
        <v>62.29</v>
      </c>
      <c r="G11" s="24">
        <v>0</v>
      </c>
      <c r="H11" s="24">
        <v>0</v>
      </c>
      <c r="I11" s="25">
        <f>'Форма 4'!I121</f>
        <v>19.228</v>
      </c>
      <c r="J11" s="25">
        <v>0</v>
      </c>
      <c r="K11" s="25">
        <f>'Форма 4'!I122</f>
        <v>5.0375</v>
      </c>
      <c r="L11" s="24">
        <v>0</v>
      </c>
      <c r="M11" s="24">
        <v>0</v>
      </c>
      <c r="N11" s="24">
        <v>434.837</v>
      </c>
      <c r="O11" s="24">
        <v>254.2124</v>
      </c>
      <c r="P11" s="24">
        <v>331.955</v>
      </c>
      <c r="Q11" s="24">
        <v>102.882</v>
      </c>
      <c r="R11" s="24">
        <v>194.066</v>
      </c>
      <c r="S11" s="24">
        <v>60.1464</v>
      </c>
      <c r="T11" s="24">
        <v>0</v>
      </c>
      <c r="U11" s="24">
        <v>0</v>
      </c>
      <c r="V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</row>
    <row r="12" spans="1:30" ht="10.5">
      <c r="A12" s="24" t="str">
        <f>'Форма 4'!A141</f>
        <v>7.</v>
      </c>
      <c r="B12" s="24">
        <f t="shared" si="0"/>
        <v>7004.73</v>
      </c>
      <c r="C12" s="24">
        <v>0</v>
      </c>
      <c r="D12" s="24">
        <v>0</v>
      </c>
      <c r="E12" s="24">
        <v>0</v>
      </c>
      <c r="F12" s="24">
        <v>7004.73</v>
      </c>
      <c r="G12" s="24">
        <v>0</v>
      </c>
      <c r="H12" s="24">
        <v>0</v>
      </c>
      <c r="I12" s="25">
        <f>'Форма 4'!I141</f>
        <v>0</v>
      </c>
      <c r="J12" s="25">
        <v>0</v>
      </c>
      <c r="K12" s="25">
        <f>'Форма 4'!I142</f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</row>
    <row r="13" spans="1:30" ht="10.5">
      <c r="A13" s="24" t="str">
        <f>'Форма 4'!A159</f>
        <v>8.</v>
      </c>
      <c r="B13" s="24">
        <f t="shared" si="0"/>
        <v>360.62</v>
      </c>
      <c r="C13" s="24">
        <v>97.67</v>
      </c>
      <c r="D13" s="24">
        <v>12.59</v>
      </c>
      <c r="E13" s="24">
        <v>0.15</v>
      </c>
      <c r="F13" s="24">
        <v>250.36</v>
      </c>
      <c r="G13" s="24">
        <v>0</v>
      </c>
      <c r="H13" s="24">
        <v>0</v>
      </c>
      <c r="I13" s="25">
        <f>'Форма 4'!I159</f>
        <v>6.71715</v>
      </c>
      <c r="J13" s="25">
        <v>0</v>
      </c>
      <c r="K13" s="25">
        <f>'Форма 4'!I160</f>
        <v>0.0125</v>
      </c>
      <c r="L13" s="24">
        <v>0</v>
      </c>
      <c r="M13" s="24">
        <v>0</v>
      </c>
      <c r="N13" s="24">
        <v>79.2342</v>
      </c>
      <c r="O13" s="24">
        <v>58.692</v>
      </c>
      <c r="P13" s="24">
        <v>79.1127</v>
      </c>
      <c r="Q13" s="24">
        <v>0.1215</v>
      </c>
      <c r="R13" s="24">
        <v>58.602</v>
      </c>
      <c r="S13" s="24">
        <v>0.09</v>
      </c>
      <c r="T13" s="24">
        <v>0</v>
      </c>
      <c r="U13" s="24">
        <v>0</v>
      </c>
      <c r="V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</row>
    <row r="14" spans="1:30" ht="10.5">
      <c r="A14" s="24" t="str">
        <f>'Форма 4'!A178</f>
        <v>9.</v>
      </c>
      <c r="B14" s="24">
        <f t="shared" si="0"/>
        <v>869.77</v>
      </c>
      <c r="C14" s="24">
        <v>90.35</v>
      </c>
      <c r="D14" s="24">
        <v>32.6</v>
      </c>
      <c r="E14" s="24">
        <v>0.3</v>
      </c>
      <c r="F14" s="24">
        <v>746.82</v>
      </c>
      <c r="G14" s="24">
        <v>0</v>
      </c>
      <c r="H14" s="24">
        <v>0</v>
      </c>
      <c r="I14" s="25">
        <f>'Форма 4'!I178</f>
        <v>7.2864</v>
      </c>
      <c r="J14" s="25">
        <v>0</v>
      </c>
      <c r="K14" s="25">
        <f>'Форма 4'!I179</f>
        <v>0.025</v>
      </c>
      <c r="L14" s="24">
        <v>0</v>
      </c>
      <c r="M14" s="24">
        <v>0</v>
      </c>
      <c r="N14" s="24">
        <v>73.4265</v>
      </c>
      <c r="O14" s="24">
        <v>54.39</v>
      </c>
      <c r="P14" s="24">
        <v>73.1835</v>
      </c>
      <c r="Q14" s="24">
        <v>0.243</v>
      </c>
      <c r="R14" s="24">
        <v>54.21</v>
      </c>
      <c r="S14" s="24">
        <v>0.18</v>
      </c>
      <c r="T14" s="24">
        <v>0</v>
      </c>
      <c r="U14" s="24">
        <v>0</v>
      </c>
      <c r="V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</row>
    <row r="15" spans="1:30" ht="10.5">
      <c r="A15" s="24" t="str">
        <f>'Форма 4'!A197</f>
        <v>10.</v>
      </c>
      <c r="B15" s="24">
        <f t="shared" si="0"/>
        <v>97.73</v>
      </c>
      <c r="C15" s="24">
        <v>16.4</v>
      </c>
      <c r="D15" s="24">
        <v>78.13</v>
      </c>
      <c r="E15" s="24">
        <v>11.89</v>
      </c>
      <c r="F15" s="24">
        <v>3.2</v>
      </c>
      <c r="G15" s="24">
        <v>0</v>
      </c>
      <c r="H15" s="24">
        <v>0</v>
      </c>
      <c r="I15" s="25">
        <f>'Форма 4'!I197</f>
        <v>1.37816</v>
      </c>
      <c r="J15" s="25">
        <v>0</v>
      </c>
      <c r="K15" s="25">
        <f>'Форма 4'!I198</f>
        <v>0.72825</v>
      </c>
      <c r="L15" s="24">
        <v>0</v>
      </c>
      <c r="M15" s="24">
        <v>0</v>
      </c>
      <c r="N15" s="24">
        <v>33.0993</v>
      </c>
      <c r="O15" s="24">
        <v>20.3688</v>
      </c>
      <c r="P15" s="24">
        <v>19.188</v>
      </c>
      <c r="Q15" s="24">
        <v>13.9113</v>
      </c>
      <c r="R15" s="24">
        <v>11.808</v>
      </c>
      <c r="S15" s="24">
        <v>8.5608</v>
      </c>
      <c r="T15" s="24">
        <v>0</v>
      </c>
      <c r="U15" s="24">
        <v>0</v>
      </c>
      <c r="V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</row>
    <row r="16" spans="1:30" ht="10.5">
      <c r="A16" s="24" t="str">
        <f>'Форма 4'!A216</f>
        <v>11.</v>
      </c>
      <c r="B16" s="24">
        <f t="shared" si="0"/>
        <v>1059.68</v>
      </c>
      <c r="C16" s="24">
        <v>1059.68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5">
        <f>'Форма 4'!I216</f>
        <v>111.78</v>
      </c>
      <c r="J16" s="25">
        <v>0</v>
      </c>
      <c r="K16" s="25">
        <f>'Форма 4'!I217</f>
        <v>0</v>
      </c>
      <c r="L16" s="24">
        <v>0</v>
      </c>
      <c r="M16" s="24">
        <v>0</v>
      </c>
      <c r="N16" s="24">
        <v>847.744</v>
      </c>
      <c r="O16" s="24">
        <v>402.6784</v>
      </c>
      <c r="P16" s="24">
        <v>847.744</v>
      </c>
      <c r="Q16" s="24">
        <v>0</v>
      </c>
      <c r="R16" s="24">
        <v>402.6784</v>
      </c>
      <c r="S16" s="24">
        <v>0</v>
      </c>
      <c r="T16" s="24">
        <v>0</v>
      </c>
      <c r="U16" s="24">
        <v>0</v>
      </c>
      <c r="V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</row>
    <row r="17" spans="1:30" ht="10.5">
      <c r="A17" s="24" t="str">
        <f>'Форма 4'!A235</f>
        <v>12.</v>
      </c>
      <c r="B17" s="24">
        <f t="shared" si="0"/>
        <v>791.76</v>
      </c>
      <c r="C17" s="24">
        <v>0</v>
      </c>
      <c r="D17" s="24">
        <v>791.76</v>
      </c>
      <c r="E17" s="24">
        <v>155.45</v>
      </c>
      <c r="F17" s="24">
        <v>0</v>
      </c>
      <c r="G17" s="24">
        <v>0</v>
      </c>
      <c r="H17" s="24">
        <v>0</v>
      </c>
      <c r="I17" s="25">
        <f>'Форма 4'!I235</f>
        <v>0</v>
      </c>
      <c r="J17" s="25">
        <v>0</v>
      </c>
      <c r="K17" s="25">
        <f>'Форма 4'!I236</f>
        <v>11.0875</v>
      </c>
      <c r="L17" s="24">
        <v>0</v>
      </c>
      <c r="M17" s="24">
        <v>0</v>
      </c>
      <c r="N17" s="24">
        <v>147.6775</v>
      </c>
      <c r="O17" s="24">
        <v>66.8435</v>
      </c>
      <c r="P17" s="24">
        <v>0</v>
      </c>
      <c r="Q17" s="24">
        <v>147.6775</v>
      </c>
      <c r="R17" s="24">
        <v>0</v>
      </c>
      <c r="S17" s="24">
        <v>66.8435</v>
      </c>
      <c r="T17" s="24">
        <v>0</v>
      </c>
      <c r="U17" s="24">
        <v>0</v>
      </c>
      <c r="V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D17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5" customWidth="1"/>
    <col min="2" max="16384" width="9.140625" style="24" customWidth="1"/>
  </cols>
  <sheetData>
    <row r="1" spans="1:30" s="26" customFormat="1" ht="10.5">
      <c r="A1" s="8"/>
      <c r="B1" s="26" t="s">
        <v>139</v>
      </c>
      <c r="C1" s="26" t="s">
        <v>140</v>
      </c>
      <c r="D1" s="26" t="s">
        <v>141</v>
      </c>
      <c r="E1" s="26" t="s">
        <v>142</v>
      </c>
      <c r="F1" s="26" t="s">
        <v>143</v>
      </c>
      <c r="G1" s="26" t="s">
        <v>144</v>
      </c>
      <c r="H1" s="26" t="s">
        <v>145</v>
      </c>
      <c r="I1" s="26" t="s">
        <v>146</v>
      </c>
      <c r="J1" s="26" t="s">
        <v>147</v>
      </c>
      <c r="K1" s="26" t="s">
        <v>148</v>
      </c>
      <c r="L1" s="26" t="s">
        <v>149</v>
      </c>
      <c r="M1" s="26" t="s">
        <v>150</v>
      </c>
      <c r="N1" s="26" t="s">
        <v>151</v>
      </c>
      <c r="O1" s="26" t="s">
        <v>152</v>
      </c>
      <c r="P1" s="26" t="s">
        <v>153</v>
      </c>
      <c r="Q1" s="26" t="s">
        <v>154</v>
      </c>
      <c r="R1" s="26" t="s">
        <v>155</v>
      </c>
      <c r="S1" s="26" t="s">
        <v>156</v>
      </c>
      <c r="T1" s="26" t="s">
        <v>157</v>
      </c>
      <c r="U1" s="26" t="s">
        <v>158</v>
      </c>
      <c r="V1" s="26" t="s">
        <v>159</v>
      </c>
      <c r="X1" s="26" t="s">
        <v>160</v>
      </c>
      <c r="Y1" s="26" t="s">
        <v>161</v>
      </c>
      <c r="Z1" s="26" t="s">
        <v>162</v>
      </c>
      <c r="AA1" s="26" t="s">
        <v>163</v>
      </c>
      <c r="AB1" s="26" t="s">
        <v>164</v>
      </c>
      <c r="AC1" s="26" t="s">
        <v>165</v>
      </c>
      <c r="AD1" s="26" t="s">
        <v>166</v>
      </c>
    </row>
    <row r="2" spans="1:10" ht="10.5">
      <c r="A2" s="61"/>
      <c r="B2" s="62"/>
      <c r="C2" s="62"/>
      <c r="D2" s="62"/>
      <c r="E2" s="62"/>
      <c r="F2" s="62"/>
      <c r="G2" s="62"/>
      <c r="H2" s="62"/>
      <c r="I2" s="62"/>
      <c r="J2" s="62"/>
    </row>
    <row r="3" spans="1:10" ht="10.5">
      <c r="A3" s="27"/>
      <c r="B3" s="63" t="s">
        <v>167</v>
      </c>
      <c r="C3" s="63"/>
      <c r="D3" s="63"/>
      <c r="E3" s="63"/>
      <c r="F3" s="63"/>
      <c r="G3" s="63"/>
      <c r="H3" s="63"/>
      <c r="I3" s="63"/>
      <c r="J3" s="63"/>
    </row>
    <row r="4" spans="1:10" ht="10.5">
      <c r="A4" s="27"/>
      <c r="B4" s="63" t="s">
        <v>168</v>
      </c>
      <c r="C4" s="63"/>
      <c r="D4" s="63"/>
      <c r="E4" s="63"/>
      <c r="F4" s="63"/>
      <c r="G4" s="63"/>
      <c r="H4" s="63"/>
      <c r="I4" s="63"/>
      <c r="J4" s="63"/>
    </row>
    <row r="5" spans="1:10" ht="10.5">
      <c r="A5" s="61"/>
      <c r="B5" s="62"/>
      <c r="C5" s="62"/>
      <c r="D5" s="62"/>
      <c r="E5" s="62"/>
      <c r="F5" s="62"/>
      <c r="G5" s="62"/>
      <c r="H5" s="62"/>
      <c r="I5" s="62"/>
      <c r="J5" s="62"/>
    </row>
    <row r="6" spans="1:30" ht="10.5">
      <c r="A6" s="24" t="str">
        <f>'Форма 4'!A27</f>
        <v>1.</v>
      </c>
      <c r="B6" s="24">
        <f aca="true" t="shared" si="0" ref="B6:B17">ROUND(C6+D6+F6,2)</f>
        <v>51.74</v>
      </c>
      <c r="C6" s="24">
        <f>ROUND('Форма 4'!C27*'Базовые цены за единицу'!C6,2)</f>
        <v>1.2</v>
      </c>
      <c r="D6" s="24">
        <f>ROUND('Форма 4'!C27*'Базовые цены за единицу'!D6,2)</f>
        <v>50.54</v>
      </c>
      <c r="E6" s="24">
        <f>ROUND('Форма 4'!C27*'Базовые цены за единицу'!E6,2)</f>
        <v>5.67</v>
      </c>
      <c r="F6" s="24">
        <f>ROUND('Форма 4'!C27*'Базовые цены за единицу'!F6,2)</f>
        <v>0</v>
      </c>
      <c r="G6" s="24">
        <f>ROUND('Форма 4'!C27*'Базовые цены за единицу'!G6,2)</f>
        <v>0</v>
      </c>
      <c r="H6" s="24">
        <f>ROUND('Форма 4'!C27*'Базовые цены за единицу'!H6,2)</f>
        <v>0</v>
      </c>
      <c r="I6" s="28">
        <f>ОКРУГЛВСЕ('Форма 4'!C27*'Базовые цены за единицу'!I6,8)</f>
        <v>0.121624</v>
      </c>
      <c r="J6" s="25">
        <f>ОКРУГЛВСЕ('Форма 4'!C27*'Базовые цены за единицу'!J6,8)</f>
        <v>0</v>
      </c>
      <c r="K6" s="28">
        <f>ОКРУГЛВСЕ('Форма 4'!C27*'Базовые цены за единицу'!K6,8)</f>
        <v>0.34692</v>
      </c>
      <c r="L6" s="24">
        <f>ROUND('Форма 4'!C27*'Базовые цены за единицу'!L6,2)</f>
        <v>0</v>
      </c>
      <c r="M6" s="24">
        <f>ROUND('Форма 4'!C27*'Базовые цены за единицу'!M6,2)</f>
        <v>0</v>
      </c>
      <c r="N6" s="24">
        <f>ROUND((C6+E6)*'Форма 4'!C39/100,2)</f>
        <v>6.53</v>
      </c>
      <c r="O6" s="24">
        <f>ROUND((C6+E6)*'Форма 4'!C42/100,2)</f>
        <v>2.95</v>
      </c>
      <c r="P6" s="24">
        <f>ROUND('Форма 4'!C27*'Базовые цены за единицу'!P6,2)</f>
        <v>1.14</v>
      </c>
      <c r="Q6" s="24">
        <f>ROUND('Форма 4'!C27*'Базовые цены за единицу'!Q6,2)</f>
        <v>5.38</v>
      </c>
      <c r="R6" s="24">
        <f>ROUND('Форма 4'!C27*'Базовые цены за единицу'!R6,2)</f>
        <v>0.52</v>
      </c>
      <c r="S6" s="24">
        <f>ROUND('Форма 4'!C27*'Базовые цены за единицу'!S6,2)</f>
        <v>2.44</v>
      </c>
      <c r="T6" s="24">
        <f>ROUND('Форма 4'!C27*'Базовые цены за единицу'!T6,2)</f>
        <v>0</v>
      </c>
      <c r="U6" s="24">
        <f>ROUND('Форма 4'!C27*'Базовые цены за единицу'!U6,2)</f>
        <v>0</v>
      </c>
      <c r="V6" s="24">
        <f>ROUND('Форма 4'!C27*'Базовые цены за единицу'!V6,2)</f>
        <v>0</v>
      </c>
      <c r="X6" s="24">
        <f>ROUND('Форма 4'!C27*'Базовые цены за единицу'!X6,2)</f>
        <v>0</v>
      </c>
      <c r="Y6" s="24">
        <f>IF(Определители!I6="9",ROUND((C6+E6)*(Начисления!M6/100)*('Форма 4'!C39/100),2),0)</f>
        <v>0</v>
      </c>
      <c r="Z6" s="24">
        <f>IF(Определители!I6="9",ROUND((C6+E6)*(100-Начисления!M6/100)*('Форма 4'!C39/100),2),0)</f>
        <v>0</v>
      </c>
      <c r="AA6" s="24">
        <f>IF(Определители!I6="9",ROUND((C6+E6)*(Начисления!M6/100)*('Форма 4'!C42/100),2),0)</f>
        <v>0</v>
      </c>
      <c r="AB6" s="24">
        <f>IF(Определители!I6="9",ROUND((C6+E6)*(100-Начисления!M6/100)*('Форма 4'!C42/100),2),0)</f>
        <v>0</v>
      </c>
      <c r="AC6" s="24">
        <f>IF(Определители!I6="9",ROUND(B6*Начисления!M6/100,2),0)</f>
        <v>0</v>
      </c>
      <c r="AD6" s="24">
        <f>IF(Определители!I6="9",ROUND(B6*(100-Начисления!M6)/100,2),0)</f>
        <v>0</v>
      </c>
    </row>
    <row r="7" spans="1:30" ht="10.5">
      <c r="A7" s="24" t="str">
        <f>'Форма 4'!A46</f>
        <v>2.</v>
      </c>
      <c r="B7" s="24">
        <f t="shared" si="0"/>
        <v>67.49</v>
      </c>
      <c r="C7" s="24">
        <f>ROUND('Форма 4'!C46*'Базовые цены за единицу'!C7,2)</f>
        <v>67.49</v>
      </c>
      <c r="D7" s="24">
        <f>ROUND('Форма 4'!C46*'Базовые цены за единицу'!D7,2)</f>
        <v>0</v>
      </c>
      <c r="E7" s="24">
        <f>ROUND('Форма 4'!C46*'Базовые цены за единицу'!E7,2)</f>
        <v>0</v>
      </c>
      <c r="F7" s="24">
        <f>ROUND('Форма 4'!C46*'Базовые цены за единицу'!F7,2)</f>
        <v>0</v>
      </c>
      <c r="G7" s="24">
        <f>ROUND('Форма 4'!C46*'Базовые цены за единицу'!G7,2)</f>
        <v>0</v>
      </c>
      <c r="H7" s="24">
        <f>ROUND('Форма 4'!C46*'Базовые цены за единицу'!H7,2)</f>
        <v>0</v>
      </c>
      <c r="I7" s="28">
        <f>ОКРУГЛВСЕ('Форма 4'!C46*'Базовые цены за единицу'!I7,8)</f>
        <v>6.8448</v>
      </c>
      <c r="J7" s="25">
        <f>ОКРУГЛВСЕ('Форма 4'!C46*'Базовые цены за единицу'!J7,8)</f>
        <v>0</v>
      </c>
      <c r="K7" s="28">
        <f>ОКРУГЛВСЕ('Форма 4'!C46*'Базовые цены за единицу'!K7,8)</f>
        <v>0</v>
      </c>
      <c r="L7" s="24">
        <f>ROUND('Форма 4'!C46*'Базовые цены за единицу'!L7,2)</f>
        <v>0</v>
      </c>
      <c r="M7" s="24">
        <f>ROUND('Форма 4'!C46*'Базовые цены за единицу'!M7,2)</f>
        <v>0</v>
      </c>
      <c r="N7" s="24">
        <f>ROUND((C7+E7)*'Форма 4'!C58/100,2)</f>
        <v>53.99</v>
      </c>
      <c r="O7" s="24">
        <f>ROUND((C7+E7)*'Форма 4'!C61/100,2)</f>
        <v>25.65</v>
      </c>
      <c r="P7" s="24">
        <f>ROUND('Форма 4'!C46*'Базовые цены за единицу'!P7,2)</f>
        <v>53.99</v>
      </c>
      <c r="Q7" s="24">
        <f>ROUND('Форма 4'!C46*'Базовые цены за единицу'!Q7,2)</f>
        <v>0</v>
      </c>
      <c r="R7" s="24">
        <f>ROUND('Форма 4'!C46*'Базовые цены за единицу'!R7,2)</f>
        <v>25.65</v>
      </c>
      <c r="S7" s="24">
        <f>ROUND('Форма 4'!C46*'Базовые цены за единицу'!S7,2)</f>
        <v>0</v>
      </c>
      <c r="T7" s="24">
        <f>ROUND('Форма 4'!C46*'Базовые цены за единицу'!T7,2)</f>
        <v>0</v>
      </c>
      <c r="U7" s="24">
        <f>ROUND('Форма 4'!C46*'Базовые цены за единицу'!U7,2)</f>
        <v>0</v>
      </c>
      <c r="V7" s="24">
        <f>ROUND('Форма 4'!C46*'Базовые цены за единицу'!V7,2)</f>
        <v>0</v>
      </c>
      <c r="X7" s="24">
        <f>ROUND('Форма 4'!C46*'Базовые цены за единицу'!X7,2)</f>
        <v>0</v>
      </c>
      <c r="Y7" s="24">
        <f>IF(Определители!I7="9",ROUND((C7+E7)*(Начисления!M7/100)*('Форма 4'!C58/100),2),0)</f>
        <v>0</v>
      </c>
      <c r="Z7" s="24">
        <f>IF(Определители!I7="9",ROUND((C7+E7)*(100-Начисления!M7/100)*('Форма 4'!C58/100),2),0)</f>
        <v>0</v>
      </c>
      <c r="AA7" s="24">
        <f>IF(Определители!I7="9",ROUND((C7+E7)*(Начисления!M7/100)*('Форма 4'!C61/100),2),0)</f>
        <v>0</v>
      </c>
      <c r="AB7" s="24">
        <f>IF(Определители!I7="9",ROUND((C7+E7)*(100-Начисления!M7/100)*('Форма 4'!C61/100),2),0)</f>
        <v>0</v>
      </c>
      <c r="AC7" s="24">
        <f>IF(Определители!I7="9",ROUND(B7*Начисления!M7/100,2),0)</f>
        <v>0</v>
      </c>
      <c r="AD7" s="24">
        <f>IF(Определители!I7="9",ROUND(B7*(100-Начисления!M7)/100,2),0)</f>
        <v>0</v>
      </c>
    </row>
    <row r="8" spans="1:30" ht="10.5">
      <c r="A8" s="24" t="str">
        <f>'Форма 4'!A65</f>
        <v>3.</v>
      </c>
      <c r="B8" s="24">
        <f t="shared" si="0"/>
        <v>122.82</v>
      </c>
      <c r="C8" s="24">
        <f>ROUND('Форма 4'!C65*'Базовые цены за единицу'!C8,2)</f>
        <v>22.82</v>
      </c>
      <c r="D8" s="24">
        <f>ROUND('Форма 4'!C65*'Базовые цены за единицу'!D8,2)</f>
        <v>100</v>
      </c>
      <c r="E8" s="24">
        <f>ROUND('Форма 4'!C65*'Базовые цены за единицу'!E8,2)</f>
        <v>15.22</v>
      </c>
      <c r="F8" s="24">
        <f>ROUND('Форма 4'!C65*'Базовые цены за единицу'!F8,2)</f>
        <v>0</v>
      </c>
      <c r="G8" s="24">
        <f>ROUND('Форма 4'!C65*'Базовые цены за единицу'!G8,2)</f>
        <v>0</v>
      </c>
      <c r="H8" s="24">
        <f>ROUND('Форма 4'!C65*'Базовые цены за единицу'!H8,2)</f>
        <v>0</v>
      </c>
      <c r="I8" s="28">
        <f>ОКРУГЛВСЕ('Форма 4'!C65*'Базовые цены за единицу'!I8,8)</f>
        <v>1.91744</v>
      </c>
      <c r="J8" s="25">
        <f>ОКРУГЛВСЕ('Форма 4'!C65*'Базовые цены за единицу'!J8,8)</f>
        <v>0</v>
      </c>
      <c r="K8" s="28">
        <f>ОКРУГЛВСЕ('Форма 4'!C65*'Базовые цены за единицу'!K8,8)</f>
        <v>0.93216</v>
      </c>
      <c r="L8" s="24">
        <f>ROUND('Форма 4'!C65*'Базовые цены за единицу'!L8,2)</f>
        <v>0</v>
      </c>
      <c r="M8" s="24">
        <f>ROUND('Форма 4'!C65*'Базовые цены за единицу'!M8,2)</f>
        <v>0</v>
      </c>
      <c r="N8" s="24">
        <f>ROUND((C8+E8)*'Форма 4'!C77/100,2)</f>
        <v>44.51</v>
      </c>
      <c r="O8" s="24">
        <f>ROUND((C8+E8)*'Форма 4'!C80/100,2)</f>
        <v>27.39</v>
      </c>
      <c r="P8" s="24">
        <f>ROUND('Форма 4'!C65*'Базовые цены за единицу'!P8,2)</f>
        <v>26.7</v>
      </c>
      <c r="Q8" s="24">
        <f>ROUND('Форма 4'!C65*'Базовые цены за единицу'!Q8,2)</f>
        <v>17.81</v>
      </c>
      <c r="R8" s="24">
        <f>ROUND('Форма 4'!C65*'Базовые цены за единицу'!R8,2)</f>
        <v>16.43</v>
      </c>
      <c r="S8" s="24">
        <f>ROUND('Форма 4'!C65*'Базовые цены за единицу'!S8,2)</f>
        <v>10.96</v>
      </c>
      <c r="T8" s="24">
        <f>ROUND('Форма 4'!C65*'Базовые цены за единицу'!T8,2)</f>
        <v>0</v>
      </c>
      <c r="U8" s="24">
        <f>ROUND('Форма 4'!C65*'Базовые цены за единицу'!U8,2)</f>
        <v>0</v>
      </c>
      <c r="V8" s="24">
        <f>ROUND('Форма 4'!C65*'Базовые цены за единицу'!V8,2)</f>
        <v>0</v>
      </c>
      <c r="X8" s="24">
        <f>ROUND('Форма 4'!C65*'Базовые цены за единицу'!X8,2)</f>
        <v>0</v>
      </c>
      <c r="Y8" s="24">
        <f>IF(Определители!I8="9",ROUND((C8+E8)*(Начисления!M8/100)*('Форма 4'!C77/100),2),0)</f>
        <v>0</v>
      </c>
      <c r="Z8" s="24">
        <f>IF(Определители!I8="9",ROUND((C8+E8)*(100-Начисления!M8/100)*('Форма 4'!C77/100),2),0)</f>
        <v>0</v>
      </c>
      <c r="AA8" s="24">
        <f>IF(Определители!I8="9",ROUND((C8+E8)*(Начисления!M8/100)*('Форма 4'!C80/100),2),0)</f>
        <v>0</v>
      </c>
      <c r="AB8" s="24">
        <f>IF(Определители!I8="9",ROUND((C8+E8)*(100-Начисления!M8/100)*('Форма 4'!C80/100),2),0)</f>
        <v>0</v>
      </c>
      <c r="AC8" s="24">
        <f>IF(Определители!I8="9",ROUND(B8*Начисления!M8/100,2),0)</f>
        <v>0</v>
      </c>
      <c r="AD8" s="24">
        <f>IF(Определители!I8="9",ROUND(B8*(100-Начисления!M8)/100,2),0)</f>
        <v>0</v>
      </c>
    </row>
    <row r="9" spans="1:30" ht="10.5">
      <c r="A9" s="24" t="str">
        <f>'Форма 4'!A84</f>
        <v>4.</v>
      </c>
      <c r="B9" s="24">
        <f t="shared" si="0"/>
        <v>516.99</v>
      </c>
      <c r="C9" s="24">
        <f>ROUND('Форма 4'!C84*'Базовые цены за единицу'!C9,2)</f>
        <v>0</v>
      </c>
      <c r="D9" s="24">
        <f>ROUND('Форма 4'!C84*'Базовые цены за единицу'!D9,2)</f>
        <v>516.99</v>
      </c>
      <c r="E9" s="24">
        <f>ROUND('Форма 4'!C84*'Базовые цены за единицу'!E9,2)</f>
        <v>296.05</v>
      </c>
      <c r="F9" s="24">
        <f>ROUND('Форма 4'!C84*'Базовые цены за единицу'!F9,2)</f>
        <v>0</v>
      </c>
      <c r="G9" s="24">
        <f>ROUND('Форма 4'!C84*'Базовые цены за единицу'!G9,2)</f>
        <v>0</v>
      </c>
      <c r="H9" s="24">
        <f>ROUND('Форма 4'!C84*'Базовые цены за единицу'!H9,2)</f>
        <v>0</v>
      </c>
      <c r="I9" s="28">
        <f>ОКРУГЛВСЕ('Форма 4'!C84*'Базовые цены за единицу'!I9,8)</f>
        <v>0</v>
      </c>
      <c r="J9" s="25">
        <f>ОКРУГЛВСЕ('Форма 4'!C84*'Базовые цены за единицу'!J9,8)</f>
        <v>0</v>
      </c>
      <c r="K9" s="28">
        <f>ОКРУГЛВСЕ('Форма 4'!C84*'Базовые цены за единицу'!K9,8)</f>
        <v>24.30285</v>
      </c>
      <c r="L9" s="24">
        <f>ROUND('Форма 4'!C84*'Базовые цены за единицу'!L9,2)</f>
        <v>0</v>
      </c>
      <c r="M9" s="24">
        <f>ROUND('Форма 4'!C84*'Базовые цены за единицу'!M9,2)</f>
        <v>0</v>
      </c>
      <c r="N9" s="24">
        <f>ROUND((C9+E9)*'Форма 4'!C96/100,2)</f>
        <v>236.84</v>
      </c>
      <c r="O9" s="24">
        <f>ROUND((C9+E9)*'Форма 4'!C99/100,2)</f>
        <v>112.5</v>
      </c>
      <c r="P9" s="24">
        <f>ROUND('Форма 4'!C84*'Базовые цены за единицу'!P9,2)</f>
        <v>0</v>
      </c>
      <c r="Q9" s="24">
        <f>ROUND('Форма 4'!C84*'Базовые цены за единицу'!Q9,2)</f>
        <v>236.84</v>
      </c>
      <c r="R9" s="24">
        <f>ROUND('Форма 4'!C84*'Базовые цены за единицу'!R9,2)</f>
        <v>0</v>
      </c>
      <c r="S9" s="24">
        <f>ROUND('Форма 4'!C84*'Базовые цены за единицу'!S9,2)</f>
        <v>112.5</v>
      </c>
      <c r="T9" s="24">
        <f>ROUND('Форма 4'!C84*'Базовые цены за единицу'!T9,2)</f>
        <v>0</v>
      </c>
      <c r="U9" s="24">
        <f>ROUND('Форма 4'!C84*'Базовые цены за единицу'!U9,2)</f>
        <v>0</v>
      </c>
      <c r="V9" s="24">
        <f>ROUND('Форма 4'!C84*'Базовые цены за единицу'!V9,2)</f>
        <v>0</v>
      </c>
      <c r="X9" s="24">
        <f>ROUND('Форма 4'!C84*'Базовые цены за единицу'!X9,2)</f>
        <v>0</v>
      </c>
      <c r="Y9" s="24">
        <f>IF(Определители!I9="9",ROUND((C9+E9)*(Начисления!M9/100)*('Форма 4'!C96/100),2),0)</f>
        <v>0</v>
      </c>
      <c r="Z9" s="24">
        <f>IF(Определители!I9="9",ROUND((C9+E9)*(100-Начисления!M9/100)*('Форма 4'!C96/100),2),0)</f>
        <v>0</v>
      </c>
      <c r="AA9" s="24">
        <f>IF(Определители!I9="9",ROUND((C9+E9)*(Начисления!M9/100)*('Форма 4'!C99/100),2),0)</f>
        <v>0</v>
      </c>
      <c r="AB9" s="24">
        <f>IF(Определители!I9="9",ROUND((C9+E9)*(100-Начисления!M9/100)*('Форма 4'!C99/100),2),0)</f>
        <v>0</v>
      </c>
      <c r="AC9" s="24">
        <f>IF(Определители!I9="9",ROUND(B9*Начисления!M9/100,2),0)</f>
        <v>0</v>
      </c>
      <c r="AD9" s="24">
        <f>IF(Определители!I9="9",ROUND(B9*(100-Начисления!M9)/100,2),0)</f>
        <v>0</v>
      </c>
    </row>
    <row r="10" spans="1:30" ht="10.5">
      <c r="A10" s="24" t="str">
        <f>'Форма 4'!A103</f>
        <v>5.</v>
      </c>
      <c r="B10" s="24">
        <f t="shared" si="0"/>
        <v>655.46</v>
      </c>
      <c r="C10" s="24">
        <f>ROUND('Форма 4'!C103*'Базовые цены за единицу'!C10,2)</f>
        <v>142.82</v>
      </c>
      <c r="D10" s="24">
        <f>ROUND('Форма 4'!C103*'Базовые цены за единицу'!D10,2)</f>
        <v>504.32</v>
      </c>
      <c r="E10" s="24">
        <f>ROUND('Форма 4'!C103*'Базовые цены за единицу'!E10,2)</f>
        <v>56.5</v>
      </c>
      <c r="F10" s="24">
        <f>ROUND('Форма 4'!C103*'Базовые цены за единицу'!F10,2)</f>
        <v>8.32</v>
      </c>
      <c r="G10" s="24">
        <f>ROUND('Форма 4'!C103*'Базовые цены за единицу'!G10,2)</f>
        <v>0</v>
      </c>
      <c r="H10" s="24">
        <f>ROUND('Форма 4'!C103*'Базовые цены за единицу'!H10,2)</f>
        <v>0</v>
      </c>
      <c r="I10" s="28">
        <f>ОКРУГЛВСЕ('Форма 4'!C103*'Базовые цены за единицу'!I10,8)</f>
        <v>13.36</v>
      </c>
      <c r="J10" s="25">
        <f>ОКРУГЛВСЕ('Форма 4'!C103*'Базовые цены за единицу'!J10,8)</f>
        <v>0</v>
      </c>
      <c r="K10" s="28">
        <f>ОКРУГЛВСЕ('Форма 4'!C103*'Базовые цены за единицу'!K10,8)</f>
        <v>3.46</v>
      </c>
      <c r="L10" s="24">
        <f>ROUND('Форма 4'!C103*'Базовые цены за единицу'!L10,2)</f>
        <v>0</v>
      </c>
      <c r="M10" s="24">
        <f>ROUND('Форма 4'!C103*'Базовые цены за единицу'!M10,2)</f>
        <v>0</v>
      </c>
      <c r="N10" s="24">
        <f>ROUND((C10+E10)*'Форма 4'!C114/100,2)</f>
        <v>215.27</v>
      </c>
      <c r="O10" s="24">
        <f>ROUND((C10+E10)*'Форма 4'!C117/100,2)</f>
        <v>135.54</v>
      </c>
      <c r="P10" s="24">
        <f>ROUND('Форма 4'!C103*'Базовые цены за единицу'!P10,2)</f>
        <v>154.25</v>
      </c>
      <c r="Q10" s="24">
        <f>ROUND('Форма 4'!C103*'Базовые цены за единицу'!Q10,2)</f>
        <v>61.02</v>
      </c>
      <c r="R10" s="24">
        <f>ROUND('Форма 4'!C103*'Базовые цены за единицу'!R10,2)</f>
        <v>97.12</v>
      </c>
      <c r="S10" s="24">
        <f>ROUND('Форма 4'!C103*'Базовые цены за единицу'!S10,2)</f>
        <v>38.42</v>
      </c>
      <c r="T10" s="24">
        <f>ROUND('Форма 4'!C103*'Базовые цены за единицу'!T10,2)</f>
        <v>0</v>
      </c>
      <c r="U10" s="24">
        <f>ROUND('Форма 4'!C103*'Базовые цены за единицу'!U10,2)</f>
        <v>0</v>
      </c>
      <c r="V10" s="24">
        <f>ROUND('Форма 4'!C103*'Базовые цены за единицу'!V10,2)</f>
        <v>0</v>
      </c>
      <c r="X10" s="24">
        <f>ROUND('Форма 4'!C103*'Базовые цены за единицу'!X10,2)</f>
        <v>0</v>
      </c>
      <c r="Y10" s="24">
        <f>IF(Определители!I10="9",ROUND((C10+E10)*(Начисления!M10/100)*('Форма 4'!C114/100),2),0)</f>
        <v>0</v>
      </c>
      <c r="Z10" s="24">
        <f>IF(Определители!I10="9",ROUND((C10+E10)*(100-Начисления!M10/100)*('Форма 4'!C114/100),2),0)</f>
        <v>0</v>
      </c>
      <c r="AA10" s="24">
        <f>IF(Определители!I10="9",ROUND((C10+E10)*(Начисления!M10/100)*('Форма 4'!C117/100),2),0)</f>
        <v>0</v>
      </c>
      <c r="AB10" s="24">
        <f>IF(Определители!I10="9",ROUND((C10+E10)*(100-Начисления!M10/100)*('Форма 4'!C117/100),2),0)</f>
        <v>0</v>
      </c>
      <c r="AC10" s="24">
        <f>IF(Определители!I10="9",ROUND(B10*Начисления!M10/100,2),0)</f>
        <v>0</v>
      </c>
      <c r="AD10" s="24">
        <f>IF(Определители!I10="9",ROUND(B10*(100-Начисления!M10)/100,2),0)</f>
        <v>0</v>
      </c>
    </row>
    <row r="11" spans="1:30" ht="10.5">
      <c r="A11" s="24" t="str">
        <f>'Форма 4'!A121</f>
        <v>6.</v>
      </c>
      <c r="B11" s="24">
        <f t="shared" si="0"/>
        <v>2265.36</v>
      </c>
      <c r="C11" s="24">
        <f>ROUND('Форма 4'!C121*'Базовые цены за единицу'!C11,2)</f>
        <v>510.7</v>
      </c>
      <c r="D11" s="24">
        <f>ROUND('Форма 4'!C121*'Базовые цены за единицу'!D11,2)</f>
        <v>1630.08</v>
      </c>
      <c r="E11" s="24">
        <f>ROUND('Форма 4'!C121*'Базовые цены за единицу'!E11,2)</f>
        <v>158.28</v>
      </c>
      <c r="F11" s="24">
        <f>ROUND('Форма 4'!C121*'Базовые цены за единицу'!F11,2)</f>
        <v>124.58</v>
      </c>
      <c r="G11" s="24">
        <f>ROUND('Форма 4'!C121*'Базовые цены за единицу'!G11,2)</f>
        <v>0</v>
      </c>
      <c r="H11" s="24">
        <f>ROUND('Форма 4'!C121*'Базовые цены за единицу'!H11,2)</f>
        <v>0</v>
      </c>
      <c r="I11" s="28">
        <f>ОКРУГЛВСЕ('Форма 4'!C121*'Базовые цены за единицу'!I11,8)</f>
        <v>38.456</v>
      </c>
      <c r="J11" s="25">
        <f>ОКРУГЛВСЕ('Форма 4'!C121*'Базовые цены за единицу'!J11,8)</f>
        <v>0</v>
      </c>
      <c r="K11" s="28">
        <f>ОКРУГЛВСЕ('Форма 4'!C121*'Базовые цены за единицу'!K11,8)</f>
        <v>10.075</v>
      </c>
      <c r="L11" s="24">
        <f>ROUND('Форма 4'!C121*'Базовые цены за единицу'!L11,2)</f>
        <v>0</v>
      </c>
      <c r="M11" s="24">
        <f>ROUND('Форма 4'!C121*'Базовые цены за единицу'!M11,2)</f>
        <v>0</v>
      </c>
      <c r="N11" s="24">
        <f>ROUND((C11+E11)*'Форма 4'!C134/100,2)</f>
        <v>869.67</v>
      </c>
      <c r="O11" s="24">
        <f>ROUND((C11+E11)*'Форма 4'!C137/100,2)</f>
        <v>508.42</v>
      </c>
      <c r="P11" s="24">
        <f>ROUND('Форма 4'!C121*'Базовые цены за единицу'!P11,2)</f>
        <v>663.91</v>
      </c>
      <c r="Q11" s="24">
        <f>ROUND('Форма 4'!C121*'Базовые цены за единицу'!Q11,2)</f>
        <v>205.76</v>
      </c>
      <c r="R11" s="24">
        <f>ROUND('Форма 4'!C121*'Базовые цены за единицу'!R11,2)</f>
        <v>388.13</v>
      </c>
      <c r="S11" s="24">
        <f>ROUND('Форма 4'!C121*'Базовые цены за единицу'!S11,2)</f>
        <v>120.29</v>
      </c>
      <c r="T11" s="24">
        <f>ROUND('Форма 4'!C121*'Базовые цены за единицу'!T11,2)</f>
        <v>0</v>
      </c>
      <c r="U11" s="24">
        <f>ROUND('Форма 4'!C121*'Базовые цены за единицу'!U11,2)</f>
        <v>0</v>
      </c>
      <c r="V11" s="24">
        <f>ROUND('Форма 4'!C121*'Базовые цены за единицу'!V11,2)</f>
        <v>0</v>
      </c>
      <c r="X11" s="24">
        <f>ROUND('Форма 4'!C121*'Базовые цены за единицу'!X11,2)</f>
        <v>0</v>
      </c>
      <c r="Y11" s="24">
        <f>IF(Определители!I11="9",ROUND((C11+E11)*(Начисления!M11/100)*('Форма 4'!C134/100),2),0)</f>
        <v>0</v>
      </c>
      <c r="Z11" s="24">
        <f>IF(Определители!I11="9",ROUND((C11+E11)*(100-Начисления!M11/100)*('Форма 4'!C134/100),2),0)</f>
        <v>0</v>
      </c>
      <c r="AA11" s="24">
        <f>IF(Определители!I11="9",ROUND((C11+E11)*(Начисления!M11/100)*('Форма 4'!C137/100),2),0)</f>
        <v>0</v>
      </c>
      <c r="AB11" s="24">
        <f>IF(Определители!I11="9",ROUND((C11+E11)*(100-Начисления!M11/100)*('Форма 4'!C137/100),2),0)</f>
        <v>0</v>
      </c>
      <c r="AC11" s="24">
        <f>IF(Определители!I11="9",ROUND(B11*Начисления!M11/100,2),0)</f>
        <v>0</v>
      </c>
      <c r="AD11" s="24">
        <f>IF(Определители!I11="9",ROUND(B11*(100-Начисления!M11)/100,2),0)</f>
        <v>0</v>
      </c>
    </row>
    <row r="12" spans="1:30" ht="10.5">
      <c r="A12" s="24" t="str">
        <f>'Форма 4'!A141</f>
        <v>7.</v>
      </c>
      <c r="B12" s="24">
        <f t="shared" si="0"/>
        <v>14009.46</v>
      </c>
      <c r="C12" s="24">
        <f>ROUND('Форма 4'!C141*'Базовые цены за единицу'!C12,2)</f>
        <v>0</v>
      </c>
      <c r="D12" s="24">
        <f>ROUND('Форма 4'!C141*'Базовые цены за единицу'!D12,2)</f>
        <v>0</v>
      </c>
      <c r="E12" s="24">
        <f>ROUND('Форма 4'!C141*'Базовые цены за единицу'!E12,2)</f>
        <v>0</v>
      </c>
      <c r="F12" s="24">
        <f>ROUND('Форма 4'!C141*'Базовые цены за единицу'!F12,2)</f>
        <v>14009.46</v>
      </c>
      <c r="G12" s="24">
        <f>ROUND('Форма 4'!C141*'Базовые цены за единицу'!G12,2)</f>
        <v>0</v>
      </c>
      <c r="H12" s="24">
        <f>ROUND('Форма 4'!C141*'Базовые цены за единицу'!H12,2)</f>
        <v>0</v>
      </c>
      <c r="I12" s="28">
        <f>ОКРУГЛВСЕ('Форма 4'!C141*'Базовые цены за единицу'!I12,8)</f>
        <v>0</v>
      </c>
      <c r="J12" s="25">
        <f>ОКРУГЛВСЕ('Форма 4'!C141*'Базовые цены за единицу'!J12,8)</f>
        <v>0</v>
      </c>
      <c r="K12" s="28">
        <f>ОКРУГЛВСЕ('Форма 4'!C141*'Базовые цены за единицу'!K12,8)</f>
        <v>0</v>
      </c>
      <c r="L12" s="24">
        <f>ROUND('Форма 4'!C141*'Базовые цены за единицу'!L12,2)</f>
        <v>0</v>
      </c>
      <c r="M12" s="24">
        <f>ROUND('Форма 4'!C141*'Базовые цены за единицу'!M12,2)</f>
        <v>0</v>
      </c>
      <c r="N12" s="24">
        <f>ROUND((C12+E12)*'Форма 4'!C152/100,2)</f>
        <v>0</v>
      </c>
      <c r="O12" s="24">
        <f>ROUND((C12+E12)*'Форма 4'!C155/100,2)</f>
        <v>0</v>
      </c>
      <c r="P12" s="24">
        <f>ROUND('Форма 4'!C141*'Базовые цены за единицу'!P12,2)</f>
        <v>0</v>
      </c>
      <c r="Q12" s="24">
        <f>ROUND('Форма 4'!C141*'Базовые цены за единицу'!Q12,2)</f>
        <v>0</v>
      </c>
      <c r="R12" s="24">
        <f>ROUND('Форма 4'!C141*'Базовые цены за единицу'!R12,2)</f>
        <v>0</v>
      </c>
      <c r="S12" s="24">
        <f>ROUND('Форма 4'!C141*'Базовые цены за единицу'!S12,2)</f>
        <v>0</v>
      </c>
      <c r="T12" s="24">
        <f>ROUND('Форма 4'!C141*'Базовые цены за единицу'!T12,2)</f>
        <v>0</v>
      </c>
      <c r="U12" s="24">
        <f>ROUND('Форма 4'!C141*'Базовые цены за единицу'!U12,2)</f>
        <v>0</v>
      </c>
      <c r="V12" s="24">
        <f>ROUND('Форма 4'!C141*'Базовые цены за единицу'!V12,2)</f>
        <v>0</v>
      </c>
      <c r="X12" s="24">
        <f>ROUND('Форма 4'!C141*'Базовые цены за единицу'!X12,2)</f>
        <v>0</v>
      </c>
      <c r="Y12" s="24">
        <f>IF(Определители!I12="9",ROUND((C12+E12)*(Начисления!M12/100)*('Форма 4'!C152/100),2),0)</f>
        <v>0</v>
      </c>
      <c r="Z12" s="24">
        <f>IF(Определители!I12="9",ROUND((C12+E12)*(100-Начисления!M12/100)*('Форма 4'!C152/100),2),0)</f>
        <v>0</v>
      </c>
      <c r="AA12" s="24">
        <f>IF(Определители!I12="9",ROUND((C12+E12)*(Начисления!M12/100)*('Форма 4'!C155/100),2),0)</f>
        <v>0</v>
      </c>
      <c r="AB12" s="24">
        <f>IF(Определители!I12="9",ROUND((C12+E12)*(100-Начисления!M12/100)*('Форма 4'!C155/100),2),0)</f>
        <v>0</v>
      </c>
      <c r="AC12" s="24">
        <f>IF(Определители!I12="9",ROUND(B12*Начисления!M12/100,2),0)</f>
        <v>0</v>
      </c>
      <c r="AD12" s="24">
        <f>IF(Определители!I12="9",ROUND(B12*(100-Начисления!M12)/100,2),0)</f>
        <v>0</v>
      </c>
    </row>
    <row r="13" spans="1:30" ht="10.5">
      <c r="A13" s="24" t="str">
        <f>'Форма 4'!A159</f>
        <v>8.</v>
      </c>
      <c r="B13" s="24">
        <f t="shared" si="0"/>
        <v>9.01</v>
      </c>
      <c r="C13" s="24">
        <f>ROUND('Форма 4'!C159*'Базовые цены за единицу'!C13,2)</f>
        <v>2.44</v>
      </c>
      <c r="D13" s="24">
        <f>ROUND('Форма 4'!C159*'Базовые цены за единицу'!D13,2)</f>
        <v>0.31</v>
      </c>
      <c r="E13" s="24">
        <f>ROUND('Форма 4'!C159*'Базовые цены за единицу'!E13,2)</f>
        <v>0</v>
      </c>
      <c r="F13" s="24">
        <f>ROUND('Форма 4'!C159*'Базовые цены за единицу'!F13,2)</f>
        <v>6.26</v>
      </c>
      <c r="G13" s="24">
        <f>ROUND('Форма 4'!C159*'Базовые цены за единицу'!G13,2)</f>
        <v>0</v>
      </c>
      <c r="H13" s="24">
        <f>ROUND('Форма 4'!C159*'Базовые цены за единицу'!H13,2)</f>
        <v>0</v>
      </c>
      <c r="I13" s="28">
        <f>ОКРУГЛВСЕ('Форма 4'!C159*'Базовые цены за единицу'!I13,8)</f>
        <v>0.1679288</v>
      </c>
      <c r="J13" s="25">
        <f>ОКРУГЛВСЕ('Форма 4'!C159*'Базовые цены за единицу'!J13,8)</f>
        <v>0</v>
      </c>
      <c r="K13" s="28">
        <f>ОКРУГЛВСЕ('Форма 4'!C159*'Базовые цены за единицу'!K13,8)</f>
        <v>0.0003125</v>
      </c>
      <c r="L13" s="24">
        <f>ROUND('Форма 4'!C159*'Базовые цены за единицу'!L13,2)</f>
        <v>0</v>
      </c>
      <c r="M13" s="24">
        <f>ROUND('Форма 4'!C159*'Базовые цены за единицу'!M13,2)</f>
        <v>0</v>
      </c>
      <c r="N13" s="24">
        <f>ROUND((C13+E13)*'Форма 4'!C171/100,2)</f>
        <v>1.98</v>
      </c>
      <c r="O13" s="24">
        <f>ROUND((C13+E13)*'Форма 4'!C174/100,2)</f>
        <v>1.46</v>
      </c>
      <c r="P13" s="24">
        <f>ROUND('Форма 4'!C159*'Базовые цены за единицу'!P13,2)</f>
        <v>1.98</v>
      </c>
      <c r="Q13" s="24">
        <f>ROUND('Форма 4'!C159*'Базовые цены за единицу'!Q13,2)</f>
        <v>0</v>
      </c>
      <c r="R13" s="24">
        <f>ROUND('Форма 4'!C159*'Базовые цены за единицу'!R13,2)</f>
        <v>1.47</v>
      </c>
      <c r="S13" s="24">
        <f>ROUND('Форма 4'!C159*'Базовые цены за единицу'!S13,2)</f>
        <v>0</v>
      </c>
      <c r="T13" s="24">
        <f>ROUND('Форма 4'!C159*'Базовые цены за единицу'!T13,2)</f>
        <v>0</v>
      </c>
      <c r="U13" s="24">
        <f>ROUND('Форма 4'!C159*'Базовые цены за единицу'!U13,2)</f>
        <v>0</v>
      </c>
      <c r="V13" s="24">
        <f>ROUND('Форма 4'!C159*'Базовые цены за единицу'!V13,2)</f>
        <v>0</v>
      </c>
      <c r="X13" s="24">
        <f>ROUND('Форма 4'!C159*'Базовые цены за единицу'!X13,2)</f>
        <v>0</v>
      </c>
      <c r="Y13" s="24">
        <f>IF(Определители!I13="9",ROUND((C13+E13)*(Начисления!M13/100)*('Форма 4'!C171/100),2),0)</f>
        <v>0</v>
      </c>
      <c r="Z13" s="24">
        <f>IF(Определители!I13="9",ROUND((C13+E13)*(100-Начисления!M13/100)*('Форма 4'!C171/100),2),0)</f>
        <v>0</v>
      </c>
      <c r="AA13" s="24">
        <f>IF(Определители!I13="9",ROUND((C13+E13)*(Начисления!M13/100)*('Форма 4'!C174/100),2),0)</f>
        <v>0</v>
      </c>
      <c r="AB13" s="24">
        <f>IF(Определители!I13="9",ROUND((C13+E13)*(100-Начисления!M13/100)*('Форма 4'!C174/100),2),0)</f>
        <v>0</v>
      </c>
      <c r="AC13" s="24">
        <f>IF(Определители!I13="9",ROUND(B13*Начисления!M13/100,2),0)</f>
        <v>0</v>
      </c>
      <c r="AD13" s="24">
        <f>IF(Определители!I13="9",ROUND(B13*(100-Начисления!M13)/100,2),0)</f>
        <v>0</v>
      </c>
    </row>
    <row r="14" spans="1:30" ht="10.5">
      <c r="A14" s="24" t="str">
        <f>'Форма 4'!A178</f>
        <v>9.</v>
      </c>
      <c r="B14" s="24">
        <f t="shared" si="0"/>
        <v>21.75</v>
      </c>
      <c r="C14" s="24">
        <f>ROUND('Форма 4'!C178*'Базовые цены за единицу'!C14,2)</f>
        <v>2.26</v>
      </c>
      <c r="D14" s="24">
        <f>ROUND('Форма 4'!C178*'Базовые цены за единицу'!D14,2)</f>
        <v>0.82</v>
      </c>
      <c r="E14" s="24">
        <f>ROUND('Форма 4'!C178*'Базовые цены за единицу'!E14,2)</f>
        <v>0.01</v>
      </c>
      <c r="F14" s="24">
        <f>ROUND('Форма 4'!C178*'Базовые цены за единицу'!F14,2)</f>
        <v>18.67</v>
      </c>
      <c r="G14" s="24">
        <f>ROUND('Форма 4'!C178*'Базовые цены за единицу'!G14,2)</f>
        <v>0</v>
      </c>
      <c r="H14" s="24">
        <f>ROUND('Форма 4'!C178*'Базовые цены за единицу'!H14,2)</f>
        <v>0</v>
      </c>
      <c r="I14" s="28">
        <f>ОКРУГЛВСЕ('Форма 4'!C178*'Базовые цены за единицу'!I14,8)</f>
        <v>0.18216</v>
      </c>
      <c r="J14" s="25">
        <f>ОКРУГЛВСЕ('Форма 4'!C178*'Базовые цены за единицу'!J14,8)</f>
        <v>0</v>
      </c>
      <c r="K14" s="28">
        <f>ОКРУГЛВСЕ('Форма 4'!C178*'Базовые цены за единицу'!K14,8)</f>
        <v>0.000625</v>
      </c>
      <c r="L14" s="24">
        <f>ROUND('Форма 4'!C178*'Базовые цены за единицу'!L14,2)</f>
        <v>0</v>
      </c>
      <c r="M14" s="24">
        <f>ROUND('Форма 4'!C178*'Базовые цены за единицу'!M14,2)</f>
        <v>0</v>
      </c>
      <c r="N14" s="24">
        <f>ROUND((C14+E14)*'Форма 4'!C190/100,2)</f>
        <v>1.84</v>
      </c>
      <c r="O14" s="24">
        <f>ROUND((C14+E14)*'Форма 4'!C193/100,2)</f>
        <v>1.36</v>
      </c>
      <c r="P14" s="24">
        <f>ROUND('Форма 4'!C178*'Базовые цены за единицу'!P14,2)</f>
        <v>1.83</v>
      </c>
      <c r="Q14" s="24">
        <f>ROUND('Форма 4'!C178*'Базовые цены за единицу'!Q14,2)</f>
        <v>0.01</v>
      </c>
      <c r="R14" s="24">
        <f>ROUND('Форма 4'!C178*'Базовые цены за единицу'!R14,2)</f>
        <v>1.36</v>
      </c>
      <c r="S14" s="24">
        <f>ROUND('Форма 4'!C178*'Базовые цены за единицу'!S14,2)</f>
        <v>0</v>
      </c>
      <c r="T14" s="24">
        <f>ROUND('Форма 4'!C178*'Базовые цены за единицу'!T14,2)</f>
        <v>0</v>
      </c>
      <c r="U14" s="24">
        <f>ROUND('Форма 4'!C178*'Базовые цены за единицу'!U14,2)</f>
        <v>0</v>
      </c>
      <c r="V14" s="24">
        <f>ROUND('Форма 4'!C178*'Базовые цены за единицу'!V14,2)</f>
        <v>0</v>
      </c>
      <c r="X14" s="24">
        <f>ROUND('Форма 4'!C178*'Базовые цены за единицу'!X14,2)</f>
        <v>0</v>
      </c>
      <c r="Y14" s="24">
        <f>IF(Определители!I14="9",ROUND((C14+E14)*(Начисления!M14/100)*('Форма 4'!C190/100),2),0)</f>
        <v>0</v>
      </c>
      <c r="Z14" s="24">
        <f>IF(Определители!I14="9",ROUND((C14+E14)*(100-Начисления!M14/100)*('Форма 4'!C190/100),2),0)</f>
        <v>0</v>
      </c>
      <c r="AA14" s="24">
        <f>IF(Определители!I14="9",ROUND((C14+E14)*(Начисления!M14/100)*('Форма 4'!C193/100),2),0)</f>
        <v>0</v>
      </c>
      <c r="AB14" s="24">
        <f>IF(Определители!I14="9",ROUND((C14+E14)*(100-Начисления!M14/100)*('Форма 4'!C193/100),2),0)</f>
        <v>0</v>
      </c>
      <c r="AC14" s="24">
        <f>IF(Определители!I14="9",ROUND(B14*Начисления!M14/100,2),0)</f>
        <v>0</v>
      </c>
      <c r="AD14" s="24">
        <f>IF(Определители!I14="9",ROUND(B14*(100-Начисления!M14)/100,2),0)</f>
        <v>0</v>
      </c>
    </row>
    <row r="15" spans="1:30" ht="10.5">
      <c r="A15" s="24" t="str">
        <f>'Форма 4'!A197</f>
        <v>10.</v>
      </c>
      <c r="B15" s="24">
        <f t="shared" si="0"/>
        <v>195.46</v>
      </c>
      <c r="C15" s="24">
        <f>ROUND('Форма 4'!C197*'Базовые цены за единицу'!C15,2)</f>
        <v>32.8</v>
      </c>
      <c r="D15" s="24">
        <f>ROUND('Форма 4'!C197*'Базовые цены за единицу'!D15,2)</f>
        <v>156.26</v>
      </c>
      <c r="E15" s="24">
        <f>ROUND('Форма 4'!C197*'Базовые цены за единицу'!E15,2)</f>
        <v>23.78</v>
      </c>
      <c r="F15" s="24">
        <f>ROUND('Форма 4'!C197*'Базовые цены за единицу'!F15,2)</f>
        <v>6.4</v>
      </c>
      <c r="G15" s="24">
        <f>ROUND('Форма 4'!C197*'Базовые цены за единицу'!G15,2)</f>
        <v>0</v>
      </c>
      <c r="H15" s="24">
        <f>ROUND('Форма 4'!C197*'Базовые цены за единицу'!H15,2)</f>
        <v>0</v>
      </c>
      <c r="I15" s="28">
        <f>ОКРУГЛВСЕ('Форма 4'!C197*'Базовые цены за единицу'!I15,8)</f>
        <v>2.75632</v>
      </c>
      <c r="J15" s="25">
        <f>ОКРУГЛВСЕ('Форма 4'!C197*'Базовые цены за единицу'!J15,8)</f>
        <v>0</v>
      </c>
      <c r="K15" s="28">
        <f>ОКРУГЛВСЕ('Форма 4'!C197*'Базовые цены за единицу'!K15,8)</f>
        <v>1.4565</v>
      </c>
      <c r="L15" s="24">
        <f>ROUND('Форма 4'!C197*'Базовые цены за единицу'!L15,2)</f>
        <v>0</v>
      </c>
      <c r="M15" s="24">
        <f>ROUND('Форма 4'!C197*'Базовые цены за единицу'!M15,2)</f>
        <v>0</v>
      </c>
      <c r="N15" s="24">
        <f>ROUND((C15+E15)*'Форма 4'!C209/100,2)</f>
        <v>66.2</v>
      </c>
      <c r="O15" s="24">
        <f>ROUND((C15+E15)*'Форма 4'!C212/100,2)</f>
        <v>40.74</v>
      </c>
      <c r="P15" s="24">
        <f>ROUND('Форма 4'!C197*'Базовые цены за единицу'!P15,2)</f>
        <v>38.38</v>
      </c>
      <c r="Q15" s="24">
        <f>ROUND('Форма 4'!C197*'Базовые цены за единицу'!Q15,2)</f>
        <v>27.82</v>
      </c>
      <c r="R15" s="24">
        <f>ROUND('Форма 4'!C197*'Базовые цены за единицу'!R15,2)</f>
        <v>23.62</v>
      </c>
      <c r="S15" s="24">
        <f>ROUND('Форма 4'!C197*'Базовые цены за единицу'!S15,2)</f>
        <v>17.12</v>
      </c>
      <c r="T15" s="24">
        <f>ROUND('Форма 4'!C197*'Базовые цены за единицу'!T15,2)</f>
        <v>0</v>
      </c>
      <c r="U15" s="24">
        <f>ROUND('Форма 4'!C197*'Базовые цены за единицу'!U15,2)</f>
        <v>0</v>
      </c>
      <c r="V15" s="24">
        <f>ROUND('Форма 4'!C197*'Базовые цены за единицу'!V15,2)</f>
        <v>0</v>
      </c>
      <c r="X15" s="24">
        <f>ROUND('Форма 4'!C197*'Базовые цены за единицу'!X15,2)</f>
        <v>0</v>
      </c>
      <c r="Y15" s="24">
        <f>IF(Определители!I15="9",ROUND((C15+E15)*(Начисления!M15/100)*('Форма 4'!C209/100),2),0)</f>
        <v>0</v>
      </c>
      <c r="Z15" s="24">
        <f>IF(Определители!I15="9",ROUND((C15+E15)*(100-Начисления!M15/100)*('Форма 4'!C209/100),2),0)</f>
        <v>0</v>
      </c>
      <c r="AA15" s="24">
        <f>IF(Определители!I15="9",ROUND((C15+E15)*(Начисления!M15/100)*('Форма 4'!C212/100),2),0)</f>
        <v>0</v>
      </c>
      <c r="AB15" s="24">
        <f>IF(Определители!I15="9",ROUND((C15+E15)*(100-Начисления!M15/100)*('Форма 4'!C212/100),2),0)</f>
        <v>0</v>
      </c>
      <c r="AC15" s="24">
        <f>IF(Определители!I15="9",ROUND(B15*Начисления!M15/100,2),0)</f>
        <v>0</v>
      </c>
      <c r="AD15" s="24">
        <f>IF(Определители!I15="9",ROUND(B15*(100-Начисления!M15)/100,2),0)</f>
        <v>0</v>
      </c>
    </row>
    <row r="16" spans="1:30" ht="10.5">
      <c r="A16" s="24" t="str">
        <f>'Форма 4'!A216</f>
        <v>11.</v>
      </c>
      <c r="B16" s="24">
        <f t="shared" si="0"/>
        <v>10.6</v>
      </c>
      <c r="C16" s="24">
        <f>ROUND('Форма 4'!C216*'Базовые цены за единицу'!C16,2)</f>
        <v>10.6</v>
      </c>
      <c r="D16" s="24">
        <f>ROUND('Форма 4'!C216*'Базовые цены за единицу'!D16,2)</f>
        <v>0</v>
      </c>
      <c r="E16" s="24">
        <f>ROUND('Форма 4'!C216*'Базовые цены за единицу'!E16,2)</f>
        <v>0</v>
      </c>
      <c r="F16" s="24">
        <f>ROUND('Форма 4'!C216*'Базовые цены за единицу'!F16,2)</f>
        <v>0</v>
      </c>
      <c r="G16" s="24">
        <f>ROUND('Форма 4'!C216*'Базовые цены за единицу'!G16,2)</f>
        <v>0</v>
      </c>
      <c r="H16" s="24">
        <f>ROUND('Форма 4'!C216*'Базовые цены за единицу'!H16,2)</f>
        <v>0</v>
      </c>
      <c r="I16" s="28">
        <f>ОКРУГЛВСЕ('Форма 4'!C216*'Базовые цены за единицу'!I16,8)</f>
        <v>1.1178</v>
      </c>
      <c r="J16" s="25">
        <f>ОКРУГЛВСЕ('Форма 4'!C216*'Базовые цены за единицу'!J16,8)</f>
        <v>0</v>
      </c>
      <c r="K16" s="28">
        <f>ОКРУГЛВСЕ('Форма 4'!C216*'Базовые цены за единицу'!K16,8)</f>
        <v>0</v>
      </c>
      <c r="L16" s="24">
        <f>ROUND('Форма 4'!C216*'Базовые цены за единицу'!L16,2)</f>
        <v>0</v>
      </c>
      <c r="M16" s="24">
        <f>ROUND('Форма 4'!C216*'Базовые цены за единицу'!M16,2)</f>
        <v>0</v>
      </c>
      <c r="N16" s="24">
        <f>ROUND((C16+E16)*'Форма 4'!C228/100,2)</f>
        <v>8.48</v>
      </c>
      <c r="O16" s="24">
        <f>ROUND((C16+E16)*'Форма 4'!C231/100,2)</f>
        <v>4.03</v>
      </c>
      <c r="P16" s="24">
        <f>ROUND('Форма 4'!C216*'Базовые цены за единицу'!P16,2)</f>
        <v>8.48</v>
      </c>
      <c r="Q16" s="24">
        <f>ROUND('Форма 4'!C216*'Базовые цены за единицу'!Q16,2)</f>
        <v>0</v>
      </c>
      <c r="R16" s="24">
        <f>ROUND('Форма 4'!C216*'Базовые цены за единицу'!R16,2)</f>
        <v>4.03</v>
      </c>
      <c r="S16" s="24">
        <f>ROUND('Форма 4'!C216*'Базовые цены за единицу'!S16,2)</f>
        <v>0</v>
      </c>
      <c r="T16" s="24">
        <f>ROUND('Форма 4'!C216*'Базовые цены за единицу'!T16,2)</f>
        <v>0</v>
      </c>
      <c r="U16" s="24">
        <f>ROUND('Форма 4'!C216*'Базовые цены за единицу'!U16,2)</f>
        <v>0</v>
      </c>
      <c r="V16" s="24">
        <f>ROUND('Форма 4'!C216*'Базовые цены за единицу'!V16,2)</f>
        <v>0</v>
      </c>
      <c r="X16" s="24">
        <f>ROUND('Форма 4'!C216*'Базовые цены за единицу'!X16,2)</f>
        <v>0</v>
      </c>
      <c r="Y16" s="24">
        <f>IF(Определители!I16="9",ROUND((C16+E16)*(Начисления!M16/100)*('Форма 4'!C228/100),2),0)</f>
        <v>0</v>
      </c>
      <c r="Z16" s="24">
        <f>IF(Определители!I16="9",ROUND((C16+E16)*(100-Начисления!M16/100)*('Форма 4'!C228/100),2),0)</f>
        <v>0</v>
      </c>
      <c r="AA16" s="24">
        <f>IF(Определители!I16="9",ROUND((C16+E16)*(Начисления!M16/100)*('Форма 4'!C231/100),2),0)</f>
        <v>0</v>
      </c>
      <c r="AB16" s="24">
        <f>IF(Определители!I16="9",ROUND((C16+E16)*(100-Начисления!M16/100)*('Форма 4'!C231/100),2),0)</f>
        <v>0</v>
      </c>
      <c r="AC16" s="24">
        <f>IF(Определители!I16="9",ROUND(B16*Начисления!M16/100,2),0)</f>
        <v>0</v>
      </c>
      <c r="AD16" s="24">
        <f>IF(Определители!I16="9",ROUND(B16*(100-Начисления!M16)/100,2),0)</f>
        <v>0</v>
      </c>
    </row>
    <row r="17" spans="1:30" ht="10.5">
      <c r="A17" s="24" t="str">
        <f>'Форма 4'!A235</f>
        <v>12.</v>
      </c>
      <c r="B17" s="24">
        <f t="shared" si="0"/>
        <v>7.13</v>
      </c>
      <c r="C17" s="24">
        <f>ROUND('Форма 4'!C235*'Базовые цены за единицу'!C17,2)</f>
        <v>0</v>
      </c>
      <c r="D17" s="24">
        <f>ROUND('Форма 4'!C235*'Базовые цены за единицу'!D17,2)</f>
        <v>7.13</v>
      </c>
      <c r="E17" s="24">
        <f>ROUND('Форма 4'!C235*'Базовые цены за единицу'!E17,2)</f>
        <v>1.4</v>
      </c>
      <c r="F17" s="24">
        <f>ROUND('Форма 4'!C235*'Базовые цены за единицу'!F17,2)</f>
        <v>0</v>
      </c>
      <c r="G17" s="24">
        <f>ROUND('Форма 4'!C235*'Базовые цены за единицу'!G17,2)</f>
        <v>0</v>
      </c>
      <c r="H17" s="24">
        <f>ROUND('Форма 4'!C235*'Базовые цены за единицу'!H17,2)</f>
        <v>0</v>
      </c>
      <c r="I17" s="28">
        <f>ОКРУГЛВСЕ('Форма 4'!C235*'Базовые цены за единицу'!I17,8)</f>
        <v>0</v>
      </c>
      <c r="J17" s="25">
        <f>ОКРУГЛВСЕ('Форма 4'!C235*'Базовые цены за единицу'!J17,8)</f>
        <v>0</v>
      </c>
      <c r="K17" s="28">
        <f>ОКРУГЛВСЕ('Форма 4'!C235*'Базовые цены за единицу'!K17,8)</f>
        <v>0.0997875</v>
      </c>
      <c r="L17" s="24">
        <f>ROUND('Форма 4'!C235*'Базовые цены за единицу'!L17,2)</f>
        <v>0</v>
      </c>
      <c r="M17" s="24">
        <f>ROUND('Форма 4'!C235*'Базовые цены за единицу'!M17,2)</f>
        <v>0</v>
      </c>
      <c r="N17" s="24">
        <f>ROUND((C17+E17)*'Форма 4'!C247/100,2)</f>
        <v>1.33</v>
      </c>
      <c r="O17" s="24">
        <f>ROUND((C17+E17)*'Форма 4'!C250/100,2)</f>
        <v>0.6</v>
      </c>
      <c r="P17" s="24">
        <f>ROUND('Форма 4'!C235*'Базовые цены за единицу'!P17,2)</f>
        <v>0</v>
      </c>
      <c r="Q17" s="24">
        <f>ROUND('Форма 4'!C235*'Базовые цены за единицу'!Q17,2)</f>
        <v>1.33</v>
      </c>
      <c r="R17" s="24">
        <f>ROUND('Форма 4'!C235*'Базовые цены за единицу'!R17,2)</f>
        <v>0</v>
      </c>
      <c r="S17" s="24">
        <f>ROUND('Форма 4'!C235*'Базовые цены за единицу'!S17,2)</f>
        <v>0.6</v>
      </c>
      <c r="T17" s="24">
        <f>ROUND('Форма 4'!C235*'Базовые цены за единицу'!T17,2)</f>
        <v>0</v>
      </c>
      <c r="U17" s="24">
        <f>ROUND('Форма 4'!C235*'Базовые цены за единицу'!U17,2)</f>
        <v>0</v>
      </c>
      <c r="V17" s="24">
        <f>ROUND('Форма 4'!C235*'Базовые цены за единицу'!V17,2)</f>
        <v>0</v>
      </c>
      <c r="X17" s="24">
        <f>ROUND('Форма 4'!C235*'Базовые цены за единицу'!X17,2)</f>
        <v>0</v>
      </c>
      <c r="Y17" s="24">
        <f>IF(Определители!I17="9",ROUND((C17+E17)*(Начисления!M17/100)*('Форма 4'!C247/100),2),0)</f>
        <v>0</v>
      </c>
      <c r="Z17" s="24">
        <f>IF(Определители!I17="9",ROUND((C17+E17)*(100-Начисления!M17/100)*('Форма 4'!C247/100),2),0)</f>
        <v>0</v>
      </c>
      <c r="AA17" s="24">
        <f>IF(Определители!I17="9",ROUND((C17+E17)*(Начисления!M17/100)*('Форма 4'!C250/100),2),0)</f>
        <v>0</v>
      </c>
      <c r="AB17" s="24">
        <f>IF(Определители!I17="9",ROUND((C17+E17)*(100-Начисления!M17/100)*('Форма 4'!C250/100),2),0)</f>
        <v>0</v>
      </c>
      <c r="AC17" s="24">
        <f>IF(Определители!I17="9",ROUND(B17*Начисления!M17/100,2),0)</f>
        <v>0</v>
      </c>
      <c r="AD17" s="24">
        <f>IF(Определители!I17="9",ROUND(B17*(100-Начисления!M17)/100,2),0)</f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X17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5" customWidth="1"/>
    <col min="2" max="16384" width="9.140625" style="24" customWidth="1"/>
  </cols>
  <sheetData>
    <row r="1" spans="1:50" s="26" customFormat="1" ht="10.5">
      <c r="A1" s="8"/>
      <c r="B1" s="26" t="s">
        <v>169</v>
      </c>
      <c r="C1" s="26" t="s">
        <v>170</v>
      </c>
      <c r="D1" s="26" t="s">
        <v>171</v>
      </c>
      <c r="E1" s="26" t="s">
        <v>172</v>
      </c>
      <c r="F1" s="26" t="s">
        <v>173</v>
      </c>
      <c r="G1" s="26" t="s">
        <v>174</v>
      </c>
      <c r="H1" s="26" t="s">
        <v>175</v>
      </c>
      <c r="I1" s="26" t="s">
        <v>176</v>
      </c>
      <c r="J1" s="26" t="s">
        <v>177</v>
      </c>
      <c r="K1" s="26" t="s">
        <v>178</v>
      </c>
      <c r="L1" s="26" t="s">
        <v>179</v>
      </c>
      <c r="M1" s="26" t="s">
        <v>180</v>
      </c>
      <c r="N1" s="26" t="s">
        <v>181</v>
      </c>
      <c r="O1" s="26" t="s">
        <v>182</v>
      </c>
      <c r="P1" s="26" t="s">
        <v>183</v>
      </c>
      <c r="Q1" s="26" t="s">
        <v>184</v>
      </c>
      <c r="R1" s="26" t="s">
        <v>185</v>
      </c>
      <c r="S1" s="26" t="s">
        <v>186</v>
      </c>
      <c r="T1" s="26" t="s">
        <v>187</v>
      </c>
      <c r="U1" s="26" t="s">
        <v>188</v>
      </c>
      <c r="V1" s="26" t="s">
        <v>189</v>
      </c>
      <c r="W1" s="26" t="s">
        <v>190</v>
      </c>
      <c r="X1" s="26" t="s">
        <v>191</v>
      </c>
      <c r="Y1" s="26" t="s">
        <v>192</v>
      </c>
      <c r="Z1" s="26" t="s">
        <v>193</v>
      </c>
      <c r="AA1" s="26" t="s">
        <v>194</v>
      </c>
      <c r="AB1" s="26" t="s">
        <v>195</v>
      </c>
      <c r="AC1" s="26" t="s">
        <v>196</v>
      </c>
      <c r="AD1" s="26" t="s">
        <v>197</v>
      </c>
      <c r="AE1" s="26" t="s">
        <v>198</v>
      </c>
      <c r="AF1" s="26" t="s">
        <v>199</v>
      </c>
      <c r="AG1" s="26" t="s">
        <v>200</v>
      </c>
      <c r="AH1" s="26" t="s">
        <v>201</v>
      </c>
      <c r="AI1" s="26" t="s">
        <v>202</v>
      </c>
      <c r="AJ1" s="26" t="s">
        <v>203</v>
      </c>
      <c r="AK1" s="26" t="s">
        <v>204</v>
      </c>
      <c r="AL1" s="26" t="s">
        <v>205</v>
      </c>
      <c r="AM1" s="26" t="s">
        <v>206</v>
      </c>
      <c r="AN1" s="26" t="s">
        <v>207</v>
      </c>
      <c r="AO1" s="26" t="s">
        <v>208</v>
      </c>
      <c r="AP1" s="26" t="s">
        <v>209</v>
      </c>
      <c r="AQ1" s="26" t="s">
        <v>210</v>
      </c>
      <c r="AR1" s="26" t="s">
        <v>211</v>
      </c>
      <c r="AS1" s="26" t="s">
        <v>212</v>
      </c>
      <c r="AT1" s="26" t="s">
        <v>213</v>
      </c>
      <c r="AU1" s="26" t="s">
        <v>214</v>
      </c>
      <c r="AV1" s="26" t="s">
        <v>215</v>
      </c>
      <c r="AW1" s="26" t="s">
        <v>216</v>
      </c>
      <c r="AX1" s="26" t="s">
        <v>217</v>
      </c>
    </row>
    <row r="2" spans="1:10" ht="10.5">
      <c r="A2" s="61"/>
      <c r="B2" s="62"/>
      <c r="C2" s="62"/>
      <c r="D2" s="62"/>
      <c r="E2" s="62"/>
      <c r="F2" s="62"/>
      <c r="G2" s="62"/>
      <c r="H2" s="62"/>
      <c r="I2" s="62"/>
      <c r="J2" s="62"/>
    </row>
    <row r="3" spans="1:10" ht="10.5">
      <c r="A3" s="27"/>
      <c r="B3" s="63" t="s">
        <v>167</v>
      </c>
      <c r="C3" s="63"/>
      <c r="D3" s="63"/>
      <c r="E3" s="63"/>
      <c r="F3" s="63"/>
      <c r="G3" s="63"/>
      <c r="H3" s="63"/>
      <c r="I3" s="63"/>
      <c r="J3" s="63"/>
    </row>
    <row r="4" spans="1:10" ht="10.5">
      <c r="A4" s="27"/>
      <c r="B4" s="63" t="s">
        <v>168</v>
      </c>
      <c r="C4" s="63"/>
      <c r="D4" s="63"/>
      <c r="E4" s="63"/>
      <c r="F4" s="63"/>
      <c r="G4" s="63"/>
      <c r="H4" s="63"/>
      <c r="I4" s="63"/>
      <c r="J4" s="63"/>
    </row>
    <row r="5" spans="1:10" ht="10.5">
      <c r="A5" s="61"/>
      <c r="B5" s="62"/>
      <c r="C5" s="62"/>
      <c r="D5" s="62"/>
      <c r="E5" s="62"/>
      <c r="F5" s="62"/>
      <c r="G5" s="62"/>
      <c r="H5" s="62"/>
      <c r="I5" s="62"/>
      <c r="J5" s="62"/>
    </row>
    <row r="6" spans="1:50" ht="10.5">
      <c r="A6" s="25" t="str">
        <f>'Форма 4'!A27</f>
        <v>1.</v>
      </c>
      <c r="B6" s="25">
        <v>1</v>
      </c>
      <c r="C6" s="25">
        <v>1</v>
      </c>
      <c r="D6" s="25">
        <v>1.5</v>
      </c>
      <c r="E6" s="25">
        <v>1.5</v>
      </c>
      <c r="F6" s="25">
        <v>1.15</v>
      </c>
      <c r="G6" s="25">
        <v>1</v>
      </c>
      <c r="H6" s="25">
        <v>1</v>
      </c>
      <c r="I6" s="25">
        <v>1</v>
      </c>
      <c r="J6" s="25">
        <v>1</v>
      </c>
      <c r="K6" s="25">
        <v>0</v>
      </c>
      <c r="L6" s="25">
        <v>0</v>
      </c>
      <c r="M6" s="25">
        <v>100</v>
      </c>
      <c r="N6" s="25">
        <v>0</v>
      </c>
      <c r="O6" s="25">
        <v>0</v>
      </c>
      <c r="P6" s="25">
        <v>1</v>
      </c>
      <c r="Q6" s="25">
        <v>1</v>
      </c>
      <c r="R6" s="25">
        <v>0</v>
      </c>
      <c r="S6" s="25">
        <v>0</v>
      </c>
      <c r="T6" s="25">
        <v>1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5">
        <v>0</v>
      </c>
      <c r="AE6" s="25">
        <v>0</v>
      </c>
      <c r="AF6" s="25">
        <v>0</v>
      </c>
      <c r="AG6" s="25">
        <v>1.7</v>
      </c>
      <c r="AH6" s="25">
        <v>1.6</v>
      </c>
      <c r="AI6" s="25">
        <v>1.29</v>
      </c>
      <c r="AJ6" s="25">
        <v>0.092</v>
      </c>
      <c r="AK6" s="25">
        <v>0.18</v>
      </c>
      <c r="AL6" s="25">
        <v>1</v>
      </c>
      <c r="AM6" s="25">
        <v>1</v>
      </c>
      <c r="AN6" s="25">
        <v>0.2</v>
      </c>
      <c r="AO6" s="25">
        <v>1.5</v>
      </c>
      <c r="AP6" s="25">
        <v>1</v>
      </c>
      <c r="AQ6" s="25">
        <v>1</v>
      </c>
      <c r="AR6" s="25">
        <v>1</v>
      </c>
      <c r="AS6" s="25">
        <v>1</v>
      </c>
      <c r="AT6" s="25">
        <v>1</v>
      </c>
      <c r="AU6" s="25">
        <v>100</v>
      </c>
      <c r="AV6" s="25">
        <v>1</v>
      </c>
      <c r="AW6" s="25">
        <v>1</v>
      </c>
      <c r="AX6" s="25">
        <v>1</v>
      </c>
    </row>
    <row r="7" spans="1:50" ht="10.5">
      <c r="A7" s="25" t="str">
        <f>'Форма 4'!A46</f>
        <v>2.</v>
      </c>
      <c r="B7" s="25">
        <v>1</v>
      </c>
      <c r="C7" s="25">
        <v>1</v>
      </c>
      <c r="D7" s="25">
        <v>1.25</v>
      </c>
      <c r="E7" s="25">
        <v>1.25</v>
      </c>
      <c r="F7" s="25">
        <v>1.38</v>
      </c>
      <c r="G7" s="25">
        <v>1</v>
      </c>
      <c r="H7" s="25">
        <v>1</v>
      </c>
      <c r="I7" s="25">
        <v>1</v>
      </c>
      <c r="J7" s="25">
        <v>1</v>
      </c>
      <c r="K7" s="25">
        <v>0</v>
      </c>
      <c r="L7" s="25">
        <v>0</v>
      </c>
      <c r="M7" s="25">
        <v>100</v>
      </c>
      <c r="N7" s="25">
        <v>0</v>
      </c>
      <c r="O7" s="25">
        <v>0</v>
      </c>
      <c r="P7" s="25">
        <v>1</v>
      </c>
      <c r="Q7" s="25">
        <v>1</v>
      </c>
      <c r="R7" s="25">
        <v>0</v>
      </c>
      <c r="S7" s="25">
        <v>0</v>
      </c>
      <c r="T7" s="25">
        <v>1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  <c r="AE7" s="25">
        <v>0</v>
      </c>
      <c r="AF7" s="25">
        <v>0</v>
      </c>
      <c r="AG7" s="25">
        <v>1.7</v>
      </c>
      <c r="AH7" s="25">
        <v>1.6</v>
      </c>
      <c r="AI7" s="25">
        <v>1.29</v>
      </c>
      <c r="AJ7" s="25">
        <v>0.092</v>
      </c>
      <c r="AK7" s="25">
        <v>0.18</v>
      </c>
      <c r="AL7" s="25">
        <v>1</v>
      </c>
      <c r="AM7" s="25">
        <v>1</v>
      </c>
      <c r="AN7" s="25">
        <v>0.2</v>
      </c>
      <c r="AO7" s="25">
        <v>1.5</v>
      </c>
      <c r="AP7" s="25">
        <v>1</v>
      </c>
      <c r="AQ7" s="25">
        <v>1</v>
      </c>
      <c r="AR7" s="25">
        <v>1</v>
      </c>
      <c r="AS7" s="25">
        <v>1</v>
      </c>
      <c r="AT7" s="25">
        <v>1</v>
      </c>
      <c r="AU7" s="25">
        <v>100</v>
      </c>
      <c r="AV7" s="25">
        <v>1</v>
      </c>
      <c r="AW7" s="25">
        <v>1</v>
      </c>
      <c r="AX7" s="25">
        <v>1</v>
      </c>
    </row>
    <row r="8" spans="1:50" ht="10.5">
      <c r="A8" s="25" t="str">
        <f>'Форма 4'!A65</f>
        <v>3.</v>
      </c>
      <c r="B8" s="25">
        <v>1</v>
      </c>
      <c r="C8" s="25">
        <v>1</v>
      </c>
      <c r="D8" s="25">
        <v>0.8</v>
      </c>
      <c r="E8" s="25">
        <v>0.8</v>
      </c>
      <c r="F8" s="25">
        <v>0.8</v>
      </c>
      <c r="G8" s="25">
        <v>1</v>
      </c>
      <c r="H8" s="25">
        <v>1</v>
      </c>
      <c r="I8" s="25">
        <v>1</v>
      </c>
      <c r="J8" s="25">
        <v>1</v>
      </c>
      <c r="K8" s="25">
        <v>0</v>
      </c>
      <c r="L8" s="25">
        <v>0</v>
      </c>
      <c r="M8" s="25">
        <v>100</v>
      </c>
      <c r="N8" s="25">
        <v>0</v>
      </c>
      <c r="O8" s="25">
        <v>0</v>
      </c>
      <c r="P8" s="25">
        <v>1</v>
      </c>
      <c r="Q8" s="25">
        <v>1</v>
      </c>
      <c r="R8" s="25">
        <v>0</v>
      </c>
      <c r="S8" s="25">
        <v>0</v>
      </c>
      <c r="T8" s="25">
        <v>1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5">
        <v>0</v>
      </c>
      <c r="AG8" s="25">
        <v>1.7</v>
      </c>
      <c r="AH8" s="25">
        <v>1.6</v>
      </c>
      <c r="AI8" s="25">
        <v>1.29</v>
      </c>
      <c r="AJ8" s="25">
        <v>0.092</v>
      </c>
      <c r="AK8" s="25">
        <v>0.18</v>
      </c>
      <c r="AL8" s="25">
        <v>1</v>
      </c>
      <c r="AM8" s="25">
        <v>1</v>
      </c>
      <c r="AN8" s="25">
        <v>0.2</v>
      </c>
      <c r="AO8" s="25">
        <v>1.5</v>
      </c>
      <c r="AP8" s="25">
        <v>1</v>
      </c>
      <c r="AQ8" s="25">
        <v>1</v>
      </c>
      <c r="AR8" s="25">
        <v>1</v>
      </c>
      <c r="AS8" s="25">
        <v>1</v>
      </c>
      <c r="AT8" s="25">
        <v>1</v>
      </c>
      <c r="AU8" s="25">
        <v>100</v>
      </c>
      <c r="AV8" s="25">
        <v>0</v>
      </c>
      <c r="AW8" s="25">
        <v>0</v>
      </c>
      <c r="AX8" s="25">
        <v>1</v>
      </c>
    </row>
    <row r="9" spans="1:50" ht="10.5">
      <c r="A9" s="25" t="str">
        <f>'Форма 4'!A84</f>
        <v>4.</v>
      </c>
      <c r="B9" s="25">
        <v>1</v>
      </c>
      <c r="C9" s="25">
        <v>1</v>
      </c>
      <c r="D9" s="25">
        <v>1.25</v>
      </c>
      <c r="E9" s="25">
        <v>1.25</v>
      </c>
      <c r="F9" s="25">
        <v>1.15</v>
      </c>
      <c r="G9" s="25">
        <v>1</v>
      </c>
      <c r="H9" s="25">
        <v>1</v>
      </c>
      <c r="I9" s="25">
        <v>1</v>
      </c>
      <c r="J9" s="25">
        <v>1</v>
      </c>
      <c r="K9" s="25">
        <v>0</v>
      </c>
      <c r="L9" s="25">
        <v>0</v>
      </c>
      <c r="M9" s="25">
        <v>100</v>
      </c>
      <c r="N9" s="25">
        <v>0</v>
      </c>
      <c r="O9" s="25">
        <v>0</v>
      </c>
      <c r="P9" s="25">
        <v>1</v>
      </c>
      <c r="Q9" s="25">
        <v>1</v>
      </c>
      <c r="R9" s="25">
        <v>0</v>
      </c>
      <c r="S9" s="25">
        <v>0</v>
      </c>
      <c r="T9" s="25">
        <v>1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1.7</v>
      </c>
      <c r="AH9" s="25">
        <v>1.6</v>
      </c>
      <c r="AI9" s="25">
        <v>1.29</v>
      </c>
      <c r="AJ9" s="25">
        <v>0.092</v>
      </c>
      <c r="AK9" s="25">
        <v>0.18</v>
      </c>
      <c r="AL9" s="25">
        <v>1</v>
      </c>
      <c r="AM9" s="25">
        <v>1</v>
      </c>
      <c r="AN9" s="25">
        <v>0.2</v>
      </c>
      <c r="AO9" s="25">
        <v>1.5</v>
      </c>
      <c r="AP9" s="25">
        <v>1</v>
      </c>
      <c r="AQ9" s="25">
        <v>1</v>
      </c>
      <c r="AR9" s="25">
        <v>1</v>
      </c>
      <c r="AS9" s="25">
        <v>1</v>
      </c>
      <c r="AT9" s="25">
        <v>1</v>
      </c>
      <c r="AU9" s="25">
        <v>100</v>
      </c>
      <c r="AV9" s="25">
        <v>1</v>
      </c>
      <c r="AW9" s="25">
        <v>1</v>
      </c>
      <c r="AX9" s="25">
        <v>1</v>
      </c>
    </row>
    <row r="10" spans="1:50" ht="10.5">
      <c r="A10" s="25" t="str">
        <f>'Форма 4'!A103</f>
        <v>5.</v>
      </c>
      <c r="B10" s="25">
        <v>1</v>
      </c>
      <c r="C10" s="25">
        <v>1</v>
      </c>
      <c r="D10" s="25">
        <v>1</v>
      </c>
      <c r="E10" s="25">
        <v>1</v>
      </c>
      <c r="F10" s="25">
        <v>1</v>
      </c>
      <c r="G10" s="25">
        <v>1</v>
      </c>
      <c r="H10" s="25">
        <v>1</v>
      </c>
      <c r="I10" s="25">
        <v>1</v>
      </c>
      <c r="J10" s="25">
        <v>1</v>
      </c>
      <c r="K10" s="25">
        <v>0</v>
      </c>
      <c r="L10" s="25">
        <v>0</v>
      </c>
      <c r="M10" s="25">
        <v>100</v>
      </c>
      <c r="N10" s="25">
        <v>0</v>
      </c>
      <c r="O10" s="25">
        <v>0</v>
      </c>
      <c r="P10" s="25">
        <v>1</v>
      </c>
      <c r="Q10" s="25">
        <v>1</v>
      </c>
      <c r="R10" s="25">
        <v>0</v>
      </c>
      <c r="S10" s="25">
        <v>0</v>
      </c>
      <c r="T10" s="25">
        <v>1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25">
        <v>1.7</v>
      </c>
      <c r="AH10" s="25">
        <v>1.6</v>
      </c>
      <c r="AI10" s="25">
        <v>1.29</v>
      </c>
      <c r="AJ10" s="25">
        <v>0.092</v>
      </c>
      <c r="AK10" s="25">
        <v>0.18</v>
      </c>
      <c r="AL10" s="25">
        <v>1</v>
      </c>
      <c r="AM10" s="25">
        <v>1</v>
      </c>
      <c r="AN10" s="25">
        <v>0.2</v>
      </c>
      <c r="AO10" s="25">
        <v>1.5</v>
      </c>
      <c r="AP10" s="25">
        <v>1</v>
      </c>
      <c r="AQ10" s="25">
        <v>1</v>
      </c>
      <c r="AR10" s="25">
        <v>1</v>
      </c>
      <c r="AS10" s="25">
        <v>1</v>
      </c>
      <c r="AT10" s="25">
        <v>1</v>
      </c>
      <c r="AU10" s="25">
        <v>100</v>
      </c>
      <c r="AV10" s="25">
        <v>1</v>
      </c>
      <c r="AW10" s="25">
        <v>1</v>
      </c>
      <c r="AX10" s="25">
        <v>1</v>
      </c>
    </row>
    <row r="11" spans="1:50" ht="10.5">
      <c r="A11" s="25" t="str">
        <f>'Форма 4'!A121</f>
        <v>6.</v>
      </c>
      <c r="B11" s="25">
        <v>1</v>
      </c>
      <c r="C11" s="25">
        <v>1</v>
      </c>
      <c r="D11" s="25">
        <v>1.25</v>
      </c>
      <c r="E11" s="25">
        <v>1.25</v>
      </c>
      <c r="F11" s="25">
        <v>1.15</v>
      </c>
      <c r="G11" s="25">
        <v>1</v>
      </c>
      <c r="H11" s="25">
        <v>1</v>
      </c>
      <c r="I11" s="25">
        <v>1</v>
      </c>
      <c r="J11" s="25">
        <v>1</v>
      </c>
      <c r="K11" s="25">
        <v>0</v>
      </c>
      <c r="L11" s="25">
        <v>0</v>
      </c>
      <c r="M11" s="25">
        <v>100</v>
      </c>
      <c r="N11" s="25">
        <v>0</v>
      </c>
      <c r="O11" s="25">
        <v>0</v>
      </c>
      <c r="P11" s="25">
        <v>1</v>
      </c>
      <c r="Q11" s="25">
        <v>1</v>
      </c>
      <c r="R11" s="25">
        <v>0</v>
      </c>
      <c r="S11" s="25">
        <v>0</v>
      </c>
      <c r="T11" s="25">
        <v>1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v>1.7</v>
      </c>
      <c r="AH11" s="25">
        <v>1.6</v>
      </c>
      <c r="AI11" s="25">
        <v>1.29</v>
      </c>
      <c r="AJ11" s="25">
        <v>0.092</v>
      </c>
      <c r="AK11" s="25">
        <v>0.18</v>
      </c>
      <c r="AL11" s="25">
        <v>1</v>
      </c>
      <c r="AM11" s="25">
        <v>1</v>
      </c>
      <c r="AN11" s="25">
        <v>0.2</v>
      </c>
      <c r="AO11" s="25">
        <v>1.5</v>
      </c>
      <c r="AP11" s="25">
        <v>1</v>
      </c>
      <c r="AQ11" s="25">
        <v>1</v>
      </c>
      <c r="AR11" s="25">
        <v>1</v>
      </c>
      <c r="AS11" s="25">
        <v>1</v>
      </c>
      <c r="AT11" s="25">
        <v>1</v>
      </c>
      <c r="AU11" s="25">
        <v>100</v>
      </c>
      <c r="AV11" s="25">
        <v>1</v>
      </c>
      <c r="AW11" s="25">
        <v>1</v>
      </c>
      <c r="AX11" s="25">
        <v>1</v>
      </c>
    </row>
    <row r="12" spans="1:50" ht="10.5">
      <c r="A12" s="25" t="str">
        <f>'Форма 4'!A141</f>
        <v>7.</v>
      </c>
      <c r="B12" s="25">
        <v>1</v>
      </c>
      <c r="C12" s="25">
        <v>1</v>
      </c>
      <c r="D12" s="25">
        <v>1</v>
      </c>
      <c r="E12" s="25">
        <v>1</v>
      </c>
      <c r="F12" s="25">
        <v>1</v>
      </c>
      <c r="G12" s="25">
        <v>1</v>
      </c>
      <c r="H12" s="25">
        <v>1</v>
      </c>
      <c r="I12" s="25">
        <v>1</v>
      </c>
      <c r="J12" s="25">
        <v>1</v>
      </c>
      <c r="K12" s="25">
        <v>0</v>
      </c>
      <c r="L12" s="25">
        <v>0</v>
      </c>
      <c r="M12" s="25">
        <v>100</v>
      </c>
      <c r="N12" s="25">
        <v>0</v>
      </c>
      <c r="O12" s="25">
        <v>0</v>
      </c>
      <c r="P12" s="25">
        <v>1</v>
      </c>
      <c r="Q12" s="25">
        <v>1</v>
      </c>
      <c r="R12" s="25">
        <v>0</v>
      </c>
      <c r="S12" s="25">
        <v>0</v>
      </c>
      <c r="T12" s="25">
        <v>1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1.7</v>
      </c>
      <c r="AH12" s="25">
        <v>1.6</v>
      </c>
      <c r="AI12" s="25">
        <v>1.29</v>
      </c>
      <c r="AJ12" s="25">
        <v>0.092</v>
      </c>
      <c r="AK12" s="25">
        <v>0.18</v>
      </c>
      <c r="AL12" s="25">
        <v>1</v>
      </c>
      <c r="AM12" s="25">
        <v>1</v>
      </c>
      <c r="AN12" s="25">
        <v>0.2</v>
      </c>
      <c r="AO12" s="25">
        <v>1.5</v>
      </c>
      <c r="AP12" s="25">
        <v>1</v>
      </c>
      <c r="AQ12" s="25">
        <v>1</v>
      </c>
      <c r="AR12" s="25">
        <v>1</v>
      </c>
      <c r="AS12" s="25">
        <v>1</v>
      </c>
      <c r="AT12" s="25">
        <v>1</v>
      </c>
      <c r="AU12" s="25">
        <v>100</v>
      </c>
      <c r="AV12" s="25">
        <v>1</v>
      </c>
      <c r="AW12" s="25">
        <v>1</v>
      </c>
      <c r="AX12" s="25">
        <v>1</v>
      </c>
    </row>
    <row r="13" spans="1:50" ht="10.5">
      <c r="A13" s="25" t="str">
        <f>'Форма 4'!A159</f>
        <v>8.</v>
      </c>
      <c r="B13" s="25">
        <v>1</v>
      </c>
      <c r="C13" s="25">
        <v>1</v>
      </c>
      <c r="D13" s="25">
        <v>1.25</v>
      </c>
      <c r="E13" s="25">
        <v>1.25</v>
      </c>
      <c r="F13" s="25">
        <v>1.265</v>
      </c>
      <c r="G13" s="25">
        <v>1</v>
      </c>
      <c r="H13" s="25">
        <v>1</v>
      </c>
      <c r="I13" s="25">
        <v>1</v>
      </c>
      <c r="J13" s="25">
        <v>1</v>
      </c>
      <c r="K13" s="25">
        <v>0</v>
      </c>
      <c r="L13" s="25">
        <v>0</v>
      </c>
      <c r="M13" s="25">
        <v>100</v>
      </c>
      <c r="N13" s="25">
        <v>0</v>
      </c>
      <c r="O13" s="25">
        <v>0</v>
      </c>
      <c r="P13" s="25">
        <v>1</v>
      </c>
      <c r="Q13" s="25">
        <v>1</v>
      </c>
      <c r="R13" s="25">
        <v>0</v>
      </c>
      <c r="S13" s="25">
        <v>0</v>
      </c>
      <c r="T13" s="25">
        <v>1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1.7</v>
      </c>
      <c r="AH13" s="25">
        <v>1.6</v>
      </c>
      <c r="AI13" s="25">
        <v>1.29</v>
      </c>
      <c r="AJ13" s="25">
        <v>0.092</v>
      </c>
      <c r="AK13" s="25">
        <v>0.18</v>
      </c>
      <c r="AL13" s="25">
        <v>1</v>
      </c>
      <c r="AM13" s="25">
        <v>1</v>
      </c>
      <c r="AN13" s="25">
        <v>0.2</v>
      </c>
      <c r="AO13" s="25">
        <v>1.5</v>
      </c>
      <c r="AP13" s="25">
        <v>1</v>
      </c>
      <c r="AQ13" s="25">
        <v>1</v>
      </c>
      <c r="AR13" s="25">
        <v>1</v>
      </c>
      <c r="AS13" s="25">
        <v>1</v>
      </c>
      <c r="AT13" s="25">
        <v>1</v>
      </c>
      <c r="AU13" s="25">
        <v>100</v>
      </c>
      <c r="AV13" s="25">
        <v>1</v>
      </c>
      <c r="AW13" s="25">
        <v>1</v>
      </c>
      <c r="AX13" s="25">
        <v>1</v>
      </c>
    </row>
    <row r="14" spans="1:50" ht="10.5">
      <c r="A14" s="25" t="str">
        <f>'Форма 4'!A178</f>
        <v>9.</v>
      </c>
      <c r="B14" s="25">
        <v>1</v>
      </c>
      <c r="C14" s="25">
        <v>1</v>
      </c>
      <c r="D14" s="25">
        <v>2.5</v>
      </c>
      <c r="E14" s="25">
        <v>2.5</v>
      </c>
      <c r="F14" s="25">
        <v>2.53</v>
      </c>
      <c r="G14" s="25">
        <v>1</v>
      </c>
      <c r="H14" s="25">
        <v>1</v>
      </c>
      <c r="I14" s="25">
        <v>1</v>
      </c>
      <c r="J14" s="25">
        <v>1</v>
      </c>
      <c r="K14" s="25">
        <v>0</v>
      </c>
      <c r="L14" s="25">
        <v>0</v>
      </c>
      <c r="M14" s="25">
        <v>100</v>
      </c>
      <c r="N14" s="25">
        <v>0</v>
      </c>
      <c r="O14" s="25">
        <v>0</v>
      </c>
      <c r="P14" s="25">
        <v>1</v>
      </c>
      <c r="Q14" s="25">
        <v>1</v>
      </c>
      <c r="R14" s="25">
        <v>0</v>
      </c>
      <c r="S14" s="25">
        <v>0</v>
      </c>
      <c r="T14" s="25">
        <v>1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1.7</v>
      </c>
      <c r="AH14" s="25">
        <v>1.6</v>
      </c>
      <c r="AI14" s="25">
        <v>1.29</v>
      </c>
      <c r="AJ14" s="25">
        <v>0.092</v>
      </c>
      <c r="AK14" s="25">
        <v>0.18</v>
      </c>
      <c r="AL14" s="25">
        <v>1</v>
      </c>
      <c r="AM14" s="25">
        <v>1</v>
      </c>
      <c r="AN14" s="25">
        <v>0.2</v>
      </c>
      <c r="AO14" s="25">
        <v>1.5</v>
      </c>
      <c r="AP14" s="25">
        <v>1</v>
      </c>
      <c r="AQ14" s="25">
        <v>1</v>
      </c>
      <c r="AR14" s="25">
        <v>1</v>
      </c>
      <c r="AS14" s="25">
        <v>1</v>
      </c>
      <c r="AT14" s="25">
        <v>1</v>
      </c>
      <c r="AU14" s="25">
        <v>100</v>
      </c>
      <c r="AV14" s="25">
        <v>1</v>
      </c>
      <c r="AW14" s="25">
        <v>2</v>
      </c>
      <c r="AX14" s="25">
        <v>1</v>
      </c>
    </row>
    <row r="15" spans="1:50" ht="10.5">
      <c r="A15" s="25" t="str">
        <f>'Форма 4'!A197</f>
        <v>10.</v>
      </c>
      <c r="B15" s="25">
        <v>1</v>
      </c>
      <c r="C15" s="25">
        <v>1</v>
      </c>
      <c r="D15" s="25">
        <v>1.25</v>
      </c>
      <c r="E15" s="25">
        <v>1.25</v>
      </c>
      <c r="F15" s="25">
        <v>1.15</v>
      </c>
      <c r="G15" s="25">
        <v>1</v>
      </c>
      <c r="H15" s="25">
        <v>1</v>
      </c>
      <c r="I15" s="25">
        <v>1</v>
      </c>
      <c r="J15" s="25">
        <v>1</v>
      </c>
      <c r="K15" s="25">
        <v>0</v>
      </c>
      <c r="L15" s="25">
        <v>0</v>
      </c>
      <c r="M15" s="25">
        <v>100</v>
      </c>
      <c r="N15" s="25">
        <v>0</v>
      </c>
      <c r="O15" s="25">
        <v>0</v>
      </c>
      <c r="P15" s="25">
        <v>1</v>
      </c>
      <c r="Q15" s="25">
        <v>1</v>
      </c>
      <c r="R15" s="25">
        <v>0</v>
      </c>
      <c r="S15" s="25">
        <v>0</v>
      </c>
      <c r="T15" s="25">
        <v>1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1.7</v>
      </c>
      <c r="AH15" s="25">
        <v>1.6</v>
      </c>
      <c r="AI15" s="25">
        <v>1.29</v>
      </c>
      <c r="AJ15" s="25">
        <v>0.092</v>
      </c>
      <c r="AK15" s="25">
        <v>0.18</v>
      </c>
      <c r="AL15" s="25">
        <v>1</v>
      </c>
      <c r="AM15" s="25">
        <v>1</v>
      </c>
      <c r="AN15" s="25">
        <v>0.2</v>
      </c>
      <c r="AO15" s="25">
        <v>1.5</v>
      </c>
      <c r="AP15" s="25">
        <v>1</v>
      </c>
      <c r="AQ15" s="25">
        <v>1</v>
      </c>
      <c r="AR15" s="25">
        <v>1</v>
      </c>
      <c r="AS15" s="25">
        <v>1</v>
      </c>
      <c r="AT15" s="25">
        <v>1</v>
      </c>
      <c r="AU15" s="25">
        <v>100</v>
      </c>
      <c r="AV15" s="25">
        <v>1</v>
      </c>
      <c r="AW15" s="25">
        <v>1</v>
      </c>
      <c r="AX15" s="25">
        <v>1</v>
      </c>
    </row>
    <row r="16" spans="1:50" ht="10.5">
      <c r="A16" s="25" t="str">
        <f>'Форма 4'!A216</f>
        <v>11.</v>
      </c>
      <c r="B16" s="25">
        <v>1</v>
      </c>
      <c r="C16" s="25">
        <v>1</v>
      </c>
      <c r="D16" s="25">
        <v>1.25</v>
      </c>
      <c r="E16" s="25">
        <v>1.25</v>
      </c>
      <c r="F16" s="25">
        <v>1.15</v>
      </c>
      <c r="G16" s="25">
        <v>1</v>
      </c>
      <c r="H16" s="25">
        <v>1</v>
      </c>
      <c r="I16" s="25">
        <v>1</v>
      </c>
      <c r="J16" s="25">
        <v>1</v>
      </c>
      <c r="K16" s="25">
        <v>0</v>
      </c>
      <c r="L16" s="25">
        <v>0</v>
      </c>
      <c r="M16" s="25">
        <v>100</v>
      </c>
      <c r="N16" s="25">
        <v>0</v>
      </c>
      <c r="O16" s="25">
        <v>0</v>
      </c>
      <c r="P16" s="25">
        <v>1</v>
      </c>
      <c r="Q16" s="25">
        <v>1</v>
      </c>
      <c r="R16" s="25">
        <v>0</v>
      </c>
      <c r="S16" s="25">
        <v>0</v>
      </c>
      <c r="T16" s="25">
        <v>1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1.7</v>
      </c>
      <c r="AH16" s="25">
        <v>1.6</v>
      </c>
      <c r="AI16" s="25">
        <v>1.29</v>
      </c>
      <c r="AJ16" s="25">
        <v>0.092</v>
      </c>
      <c r="AK16" s="25">
        <v>0.18</v>
      </c>
      <c r="AL16" s="25">
        <v>1</v>
      </c>
      <c r="AM16" s="25">
        <v>1</v>
      </c>
      <c r="AN16" s="25">
        <v>0.2</v>
      </c>
      <c r="AO16" s="25">
        <v>1.5</v>
      </c>
      <c r="AP16" s="25">
        <v>1</v>
      </c>
      <c r="AQ16" s="25">
        <v>1</v>
      </c>
      <c r="AR16" s="25">
        <v>1</v>
      </c>
      <c r="AS16" s="25">
        <v>1</v>
      </c>
      <c r="AT16" s="25">
        <v>1</v>
      </c>
      <c r="AU16" s="25">
        <v>100</v>
      </c>
      <c r="AV16" s="25">
        <v>1</v>
      </c>
      <c r="AW16" s="25">
        <v>1</v>
      </c>
      <c r="AX16" s="25">
        <v>1</v>
      </c>
    </row>
    <row r="17" spans="1:50" ht="10.5">
      <c r="A17" s="25" t="str">
        <f>'Форма 4'!A235</f>
        <v>12.</v>
      </c>
      <c r="B17" s="25">
        <v>1</v>
      </c>
      <c r="C17" s="25">
        <v>1</v>
      </c>
      <c r="D17" s="25">
        <v>1.25</v>
      </c>
      <c r="E17" s="25">
        <v>1.25</v>
      </c>
      <c r="F17" s="25">
        <v>1.15</v>
      </c>
      <c r="G17" s="25">
        <v>1</v>
      </c>
      <c r="H17" s="25">
        <v>1</v>
      </c>
      <c r="I17" s="25">
        <v>1</v>
      </c>
      <c r="J17" s="25">
        <v>1</v>
      </c>
      <c r="K17" s="25">
        <v>0</v>
      </c>
      <c r="L17" s="25">
        <v>0</v>
      </c>
      <c r="M17" s="25">
        <v>100</v>
      </c>
      <c r="N17" s="25">
        <v>0</v>
      </c>
      <c r="O17" s="25">
        <v>0</v>
      </c>
      <c r="P17" s="25">
        <v>1</v>
      </c>
      <c r="Q17" s="25">
        <v>1</v>
      </c>
      <c r="R17" s="25">
        <v>0</v>
      </c>
      <c r="S17" s="25">
        <v>0</v>
      </c>
      <c r="T17" s="25">
        <v>1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1.7</v>
      </c>
      <c r="AH17" s="25">
        <v>1.6</v>
      </c>
      <c r="AI17" s="25">
        <v>1.29</v>
      </c>
      <c r="AJ17" s="25">
        <v>0.092</v>
      </c>
      <c r="AK17" s="25">
        <v>0.18</v>
      </c>
      <c r="AL17" s="25">
        <v>1</v>
      </c>
      <c r="AM17" s="25">
        <v>1</v>
      </c>
      <c r="AN17" s="25">
        <v>0.2</v>
      </c>
      <c r="AO17" s="25">
        <v>1.5</v>
      </c>
      <c r="AP17" s="25">
        <v>1</v>
      </c>
      <c r="AQ17" s="25">
        <v>1</v>
      </c>
      <c r="AR17" s="25">
        <v>1</v>
      </c>
      <c r="AS17" s="25">
        <v>1</v>
      </c>
      <c r="AT17" s="25">
        <v>1</v>
      </c>
      <c r="AU17" s="25">
        <v>100</v>
      </c>
      <c r="AV17" s="25">
        <v>1</v>
      </c>
      <c r="AW17" s="25">
        <v>1</v>
      </c>
      <c r="AX17" s="25">
        <v>1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J17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30" customWidth="1"/>
    <col min="2" max="16384" width="9.140625" style="29" customWidth="1"/>
  </cols>
  <sheetData>
    <row r="1" spans="2:10" s="26" customFormat="1" ht="10.5">
      <c r="B1" s="26" t="s">
        <v>218</v>
      </c>
      <c r="C1" s="26" t="s">
        <v>219</v>
      </c>
      <c r="D1" s="26" t="s">
        <v>220</v>
      </c>
      <c r="E1" s="26" t="s">
        <v>221</v>
      </c>
      <c r="F1" s="26" t="s">
        <v>222</v>
      </c>
      <c r="G1" s="26" t="s">
        <v>223</v>
      </c>
      <c r="H1" s="26" t="s">
        <v>224</v>
      </c>
      <c r="I1" s="26" t="s">
        <v>225</v>
      </c>
      <c r="J1" s="26" t="s">
        <v>226</v>
      </c>
    </row>
    <row r="2" spans="1:10" ht="10.5">
      <c r="A2" s="64"/>
      <c r="B2" s="65"/>
      <c r="C2" s="65"/>
      <c r="D2" s="65"/>
      <c r="E2" s="65"/>
      <c r="F2" s="65"/>
      <c r="G2" s="65"/>
      <c r="H2" s="65"/>
      <c r="I2" s="65"/>
      <c r="J2" s="65"/>
    </row>
    <row r="3" spans="1:10" ht="10.5">
      <c r="A3" s="31"/>
      <c r="B3" s="66" t="s">
        <v>167</v>
      </c>
      <c r="C3" s="66"/>
      <c r="D3" s="66"/>
      <c r="E3" s="66"/>
      <c r="F3" s="66"/>
      <c r="G3" s="66"/>
      <c r="H3" s="66"/>
      <c r="I3" s="66"/>
      <c r="J3" s="66"/>
    </row>
    <row r="4" spans="1:10" ht="10.5">
      <c r="A4" s="31"/>
      <c r="B4" s="66" t="s">
        <v>168</v>
      </c>
      <c r="C4" s="66"/>
      <c r="D4" s="66"/>
      <c r="E4" s="66"/>
      <c r="F4" s="66"/>
      <c r="G4" s="66"/>
      <c r="H4" s="66"/>
      <c r="I4" s="66"/>
      <c r="J4" s="66"/>
    </row>
    <row r="5" spans="1:10" ht="10.5">
      <c r="A5" s="64"/>
      <c r="B5" s="65"/>
      <c r="C5" s="65"/>
      <c r="D5" s="65"/>
      <c r="E5" s="65"/>
      <c r="F5" s="65"/>
      <c r="G5" s="65"/>
      <c r="H5" s="65"/>
      <c r="I5" s="65"/>
      <c r="J5" s="65"/>
    </row>
    <row r="6" spans="1:10" ht="10.5">
      <c r="A6" s="30" t="str">
        <f>'Форма 4'!A27</f>
        <v>1.</v>
      </c>
      <c r="B6" s="29" t="s">
        <v>6</v>
      </c>
      <c r="C6" s="29" t="s">
        <v>6</v>
      </c>
      <c r="D6" s="29" t="s">
        <v>227</v>
      </c>
      <c r="E6" s="29" t="s">
        <v>227</v>
      </c>
      <c r="F6" s="29" t="s">
        <v>228</v>
      </c>
      <c r="G6" s="29" t="s">
        <v>227</v>
      </c>
      <c r="H6" s="29" t="s">
        <v>227</v>
      </c>
      <c r="I6" s="29" t="s">
        <v>229</v>
      </c>
      <c r="J6" s="29" t="s">
        <v>227</v>
      </c>
    </row>
    <row r="7" spans="1:10" ht="10.5">
      <c r="A7" s="30" t="str">
        <f>'Форма 4'!A46</f>
        <v>2.</v>
      </c>
      <c r="B7" s="29" t="s">
        <v>6</v>
      </c>
      <c r="C7" s="29" t="s">
        <v>6</v>
      </c>
      <c r="D7" s="29" t="s">
        <v>227</v>
      </c>
      <c r="E7" s="29" t="s">
        <v>227</v>
      </c>
      <c r="F7" s="29" t="s">
        <v>228</v>
      </c>
      <c r="G7" s="29" t="s">
        <v>227</v>
      </c>
      <c r="H7" s="29" t="s">
        <v>227</v>
      </c>
      <c r="I7" s="29" t="s">
        <v>229</v>
      </c>
      <c r="J7" s="29" t="s">
        <v>227</v>
      </c>
    </row>
    <row r="8" spans="1:10" ht="10.5">
      <c r="A8" s="30" t="str">
        <f>'Форма 4'!A65</f>
        <v>3.</v>
      </c>
      <c r="B8" s="29" t="s">
        <v>6</v>
      </c>
      <c r="C8" s="29" t="s">
        <v>6</v>
      </c>
      <c r="D8" s="29" t="s">
        <v>227</v>
      </c>
      <c r="E8" s="29" t="s">
        <v>227</v>
      </c>
      <c r="F8" s="29" t="s">
        <v>228</v>
      </c>
      <c r="G8" s="29" t="s">
        <v>227</v>
      </c>
      <c r="H8" s="29" t="s">
        <v>227</v>
      </c>
      <c r="I8" s="29" t="s">
        <v>229</v>
      </c>
      <c r="J8" s="29" t="s">
        <v>227</v>
      </c>
    </row>
    <row r="9" spans="1:10" ht="10.5">
      <c r="A9" s="30" t="str">
        <f>'Форма 4'!A84</f>
        <v>4.</v>
      </c>
      <c r="B9" s="29" t="s">
        <v>6</v>
      </c>
      <c r="C9" s="29" t="s">
        <v>6</v>
      </c>
      <c r="D9" s="29" t="s">
        <v>227</v>
      </c>
      <c r="E9" s="29" t="s">
        <v>227</v>
      </c>
      <c r="F9" s="29" t="s">
        <v>228</v>
      </c>
      <c r="G9" s="29" t="s">
        <v>227</v>
      </c>
      <c r="H9" s="29" t="s">
        <v>227</v>
      </c>
      <c r="I9" s="29" t="s">
        <v>229</v>
      </c>
      <c r="J9" s="29" t="s">
        <v>227</v>
      </c>
    </row>
    <row r="10" spans="1:10" ht="10.5">
      <c r="A10" s="30" t="str">
        <f>'Форма 4'!A103</f>
        <v>5.</v>
      </c>
      <c r="B10" s="29" t="s">
        <v>6</v>
      </c>
      <c r="C10" s="29" t="s">
        <v>6</v>
      </c>
      <c r="D10" s="29" t="s">
        <v>227</v>
      </c>
      <c r="E10" s="29" t="s">
        <v>227</v>
      </c>
      <c r="F10" s="29" t="s">
        <v>228</v>
      </c>
      <c r="G10" s="29" t="s">
        <v>227</v>
      </c>
      <c r="H10" s="29" t="s">
        <v>227</v>
      </c>
      <c r="I10" s="29" t="s">
        <v>229</v>
      </c>
      <c r="J10" s="29" t="s">
        <v>227</v>
      </c>
    </row>
    <row r="11" spans="1:10" ht="10.5">
      <c r="A11" s="30" t="str">
        <f>'Форма 4'!A121</f>
        <v>6.</v>
      </c>
      <c r="B11" s="29" t="s">
        <v>6</v>
      </c>
      <c r="C11" s="29" t="s">
        <v>6</v>
      </c>
      <c r="D11" s="29" t="s">
        <v>227</v>
      </c>
      <c r="E11" s="29" t="s">
        <v>227</v>
      </c>
      <c r="F11" s="29" t="s">
        <v>228</v>
      </c>
      <c r="G11" s="29" t="s">
        <v>227</v>
      </c>
      <c r="H11" s="29" t="s">
        <v>227</v>
      </c>
      <c r="I11" s="29" t="s">
        <v>229</v>
      </c>
      <c r="J11" s="29" t="s">
        <v>227</v>
      </c>
    </row>
    <row r="12" spans="1:10" ht="10.5">
      <c r="A12" s="30" t="str">
        <f>'Форма 4'!A141</f>
        <v>7.</v>
      </c>
      <c r="B12" s="29" t="s">
        <v>6</v>
      </c>
      <c r="C12" s="29" t="s">
        <v>6</v>
      </c>
      <c r="D12" s="29" t="s">
        <v>227</v>
      </c>
      <c r="E12" s="29" t="s">
        <v>227</v>
      </c>
      <c r="F12" s="29" t="s">
        <v>228</v>
      </c>
      <c r="G12" s="29" t="s">
        <v>227</v>
      </c>
      <c r="H12" s="29" t="s">
        <v>227</v>
      </c>
      <c r="I12" s="29" t="s">
        <v>229</v>
      </c>
      <c r="J12" s="29" t="s">
        <v>227</v>
      </c>
    </row>
    <row r="13" spans="1:10" ht="10.5">
      <c r="A13" s="30" t="str">
        <f>'Форма 4'!A159</f>
        <v>8.</v>
      </c>
      <c r="B13" s="29" t="s">
        <v>6</v>
      </c>
      <c r="C13" s="29" t="s">
        <v>6</v>
      </c>
      <c r="D13" s="29" t="s">
        <v>227</v>
      </c>
      <c r="E13" s="29" t="s">
        <v>227</v>
      </c>
      <c r="F13" s="29" t="s">
        <v>228</v>
      </c>
      <c r="G13" s="29" t="s">
        <v>227</v>
      </c>
      <c r="H13" s="29" t="s">
        <v>227</v>
      </c>
      <c r="I13" s="29" t="s">
        <v>229</v>
      </c>
      <c r="J13" s="29" t="s">
        <v>227</v>
      </c>
    </row>
    <row r="14" spans="1:10" ht="10.5">
      <c r="A14" s="30" t="str">
        <f>'Форма 4'!A178</f>
        <v>9.</v>
      </c>
      <c r="B14" s="29" t="s">
        <v>6</v>
      </c>
      <c r="C14" s="29" t="s">
        <v>6</v>
      </c>
      <c r="D14" s="29" t="s">
        <v>227</v>
      </c>
      <c r="E14" s="29" t="s">
        <v>227</v>
      </c>
      <c r="F14" s="29" t="s">
        <v>228</v>
      </c>
      <c r="G14" s="29" t="s">
        <v>227</v>
      </c>
      <c r="H14" s="29" t="s">
        <v>227</v>
      </c>
      <c r="I14" s="29" t="s">
        <v>229</v>
      </c>
      <c r="J14" s="29" t="s">
        <v>227</v>
      </c>
    </row>
    <row r="15" spans="1:10" ht="10.5">
      <c r="A15" s="30" t="str">
        <f>'Форма 4'!A197</f>
        <v>10.</v>
      </c>
      <c r="B15" s="29" t="s">
        <v>6</v>
      </c>
      <c r="C15" s="29" t="s">
        <v>6</v>
      </c>
      <c r="D15" s="29" t="s">
        <v>227</v>
      </c>
      <c r="E15" s="29" t="s">
        <v>227</v>
      </c>
      <c r="F15" s="29" t="s">
        <v>228</v>
      </c>
      <c r="G15" s="29" t="s">
        <v>227</v>
      </c>
      <c r="H15" s="29" t="s">
        <v>227</v>
      </c>
      <c r="I15" s="29" t="s">
        <v>229</v>
      </c>
      <c r="J15" s="29" t="s">
        <v>227</v>
      </c>
    </row>
    <row r="16" spans="1:10" ht="10.5">
      <c r="A16" s="30" t="str">
        <f>'Форма 4'!A216</f>
        <v>11.</v>
      </c>
      <c r="B16" s="29" t="s">
        <v>6</v>
      </c>
      <c r="C16" s="29" t="s">
        <v>6</v>
      </c>
      <c r="D16" s="29" t="s">
        <v>227</v>
      </c>
      <c r="E16" s="29" t="s">
        <v>227</v>
      </c>
      <c r="F16" s="29" t="s">
        <v>228</v>
      </c>
      <c r="G16" s="29" t="s">
        <v>227</v>
      </c>
      <c r="H16" s="29" t="s">
        <v>227</v>
      </c>
      <c r="I16" s="29" t="s">
        <v>229</v>
      </c>
      <c r="J16" s="29" t="s">
        <v>227</v>
      </c>
    </row>
    <row r="17" spans="1:10" ht="10.5">
      <c r="A17" s="30" t="str">
        <f>'Форма 4'!A235</f>
        <v>12.</v>
      </c>
      <c r="B17" s="29" t="s">
        <v>6</v>
      </c>
      <c r="C17" s="29" t="s">
        <v>6</v>
      </c>
      <c r="D17" s="29" t="s">
        <v>227</v>
      </c>
      <c r="E17" s="29" t="s">
        <v>227</v>
      </c>
      <c r="F17" s="29" t="s">
        <v>228</v>
      </c>
      <c r="G17" s="29" t="s">
        <v>227</v>
      </c>
      <c r="H17" s="29" t="s">
        <v>227</v>
      </c>
      <c r="I17" s="29" t="s">
        <v>229</v>
      </c>
      <c r="J17" s="29" t="s">
        <v>227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2:N89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5" customWidth="1"/>
    <col min="2" max="2" width="44.421875" style="7" customWidth="1"/>
    <col min="3" max="3" width="3.421875" style="29" customWidth="1"/>
    <col min="4" max="4" width="6.00390625" style="32" customWidth="1"/>
    <col min="5" max="5" width="6.00390625" style="7" customWidth="1"/>
    <col min="6" max="9" width="12.7109375" style="32" customWidth="1"/>
    <col min="10" max="11" width="18.7109375" style="32" customWidth="1"/>
    <col min="12" max="12" width="12.7109375" style="32" customWidth="1"/>
    <col min="13" max="13" width="9.140625" style="32" customWidth="1"/>
    <col min="14" max="14" width="3.421875" style="29" hidden="1" customWidth="1"/>
    <col min="15" max="16384" width="9.140625" style="32" customWidth="1"/>
  </cols>
  <sheetData>
    <row r="2" spans="1:14" ht="10.5">
      <c r="A2" s="61"/>
      <c r="B2" s="67"/>
      <c r="C2" s="67"/>
      <c r="D2" s="68"/>
      <c r="E2" s="67"/>
      <c r="F2" s="68"/>
      <c r="G2" s="68"/>
      <c r="H2" s="68"/>
      <c r="I2" s="68"/>
      <c r="J2" s="68"/>
      <c r="N2" s="32"/>
    </row>
    <row r="3" spans="1:14" ht="10.5">
      <c r="A3" s="27"/>
      <c r="B3" s="63" t="s">
        <v>167</v>
      </c>
      <c r="C3" s="63"/>
      <c r="D3" s="63"/>
      <c r="E3" s="63"/>
      <c r="F3" s="63"/>
      <c r="G3" s="63"/>
      <c r="H3" s="63"/>
      <c r="I3" s="63"/>
      <c r="J3" s="63"/>
      <c r="N3" s="32"/>
    </row>
    <row r="4" spans="1:14" ht="10.5">
      <c r="A4" s="27"/>
      <c r="B4" s="63" t="s">
        <v>168</v>
      </c>
      <c r="C4" s="63"/>
      <c r="D4" s="63"/>
      <c r="E4" s="63"/>
      <c r="F4" s="63"/>
      <c r="G4" s="63"/>
      <c r="H4" s="63"/>
      <c r="I4" s="63"/>
      <c r="J4" s="63"/>
      <c r="N4" s="32"/>
    </row>
    <row r="5" spans="1:14" ht="10.5">
      <c r="A5" s="61"/>
      <c r="B5" s="67"/>
      <c r="C5" s="67"/>
      <c r="D5" s="68"/>
      <c r="E5" s="67"/>
      <c r="F5" s="68"/>
      <c r="G5" s="68"/>
      <c r="H5" s="68"/>
      <c r="I5" s="68"/>
      <c r="J5" s="68"/>
      <c r="N5" s="32"/>
    </row>
    <row r="6" spans="1:13" s="26" customFormat="1" ht="10.5">
      <c r="A6" s="8"/>
      <c r="B6" s="26" t="s">
        <v>230</v>
      </c>
      <c r="C6" s="26" t="s">
        <v>231</v>
      </c>
      <c r="D6" s="33" t="s">
        <v>232</v>
      </c>
      <c r="E6" s="26" t="s">
        <v>233</v>
      </c>
      <c r="F6" s="26" t="s">
        <v>234</v>
      </c>
      <c r="G6" s="26" t="s">
        <v>235</v>
      </c>
      <c r="H6" s="26" t="s">
        <v>236</v>
      </c>
      <c r="I6" s="26" t="s">
        <v>237</v>
      </c>
      <c r="J6" s="26" t="s">
        <v>238</v>
      </c>
      <c r="K6" s="26" t="s">
        <v>239</v>
      </c>
      <c r="L6" s="26" t="s">
        <v>240</v>
      </c>
      <c r="M6" s="26" t="s">
        <v>241</v>
      </c>
    </row>
    <row r="7" spans="1:14" ht="10.5">
      <c r="A7" s="25">
        <v>1</v>
      </c>
      <c r="B7" s="7" t="s">
        <v>79</v>
      </c>
      <c r="C7" s="29" t="s">
        <v>242</v>
      </c>
      <c r="D7" s="32">
        <v>0</v>
      </c>
      <c r="E7" s="32"/>
      <c r="F7" s="24">
        <f>ROUND(SUM('Базовые цены с учетом расхода'!B6:B17),2)</f>
        <v>17933.27</v>
      </c>
      <c r="G7" s="24">
        <f>ROUND(SUM('Базовые цены с учетом расхода'!C6:C17),2)</f>
        <v>793.13</v>
      </c>
      <c r="H7" s="24">
        <f>ROUND(SUM('Базовые цены с учетом расхода'!D6:D17),2)</f>
        <v>2966.45</v>
      </c>
      <c r="I7" s="24">
        <f>ROUND(SUM('Базовые цены с учетом расхода'!E6:E17),2)</f>
        <v>556.91</v>
      </c>
      <c r="J7" s="28">
        <f>ROUND(SUM('Базовые цены с учетом расхода'!I6:I17),8)</f>
        <v>64.9240728</v>
      </c>
      <c r="K7" s="28">
        <f>ROUND(SUM('Базовые цены с учетом расхода'!K6:K17),8)</f>
        <v>40.674155</v>
      </c>
      <c r="L7" s="24">
        <f>ROUND(SUM('Базовые цены с учетом расхода'!F6:F17),2)</f>
        <v>14173.69</v>
      </c>
      <c r="N7" s="29" t="s">
        <v>6</v>
      </c>
    </row>
    <row r="8" spans="1:14" ht="10.5">
      <c r="A8" s="25">
        <v>2</v>
      </c>
      <c r="B8" s="7" t="s">
        <v>80</v>
      </c>
      <c r="C8" s="29" t="s">
        <v>243</v>
      </c>
      <c r="D8" s="32">
        <v>0</v>
      </c>
      <c r="F8" s="24">
        <f>ROUND(SUMIF(Определители!I6:I17,"= ",'Базовые цены с учетом расхода'!B6:B17),2)</f>
        <v>0</v>
      </c>
      <c r="G8" s="24">
        <f>ROUND(SUMIF(Определители!I6:I17,"= ",'Базовые цены с учетом расхода'!C6:C17),2)</f>
        <v>0</v>
      </c>
      <c r="H8" s="24">
        <f>ROUND(SUMIF(Определители!I6:I17,"= ",'Базовые цены с учетом расхода'!D6:D17),2)</f>
        <v>0</v>
      </c>
      <c r="I8" s="24">
        <f>ROUND(SUMIF(Определители!I6:I17,"= ",'Базовые цены с учетом расхода'!E6:E17),2)</f>
        <v>0</v>
      </c>
      <c r="J8" s="28">
        <f>ROUND(SUMIF(Определители!I6:I17,"= ",'Базовые цены с учетом расхода'!I6:I17),8)</f>
        <v>0</v>
      </c>
      <c r="K8" s="28">
        <f>ROUND(SUMIF(Определители!I6:I17,"= ",'Базовые цены с учетом расхода'!K6:K17),8)</f>
        <v>0</v>
      </c>
      <c r="L8" s="24">
        <f>ROUND(SUMIF(Определители!I6:I17,"= ",'Базовые цены с учетом расхода'!F6:F17),2)</f>
        <v>0</v>
      </c>
      <c r="N8" s="29" t="s">
        <v>229</v>
      </c>
    </row>
    <row r="9" spans="1:14" ht="10.5">
      <c r="A9" s="25">
        <v>3</v>
      </c>
      <c r="B9" s="7" t="s">
        <v>81</v>
      </c>
      <c r="C9" s="29" t="s">
        <v>243</v>
      </c>
      <c r="D9" s="32">
        <v>0</v>
      </c>
      <c r="F9" s="24">
        <f>ROUND(СУММПРОИЗВЕСЛИ(0.01,Определители!I6:I17," ",'Базовые цены с учетом расхода'!B6:B17,Начисления!X6:X17,0),2)</f>
        <v>0</v>
      </c>
      <c r="G9" s="24"/>
      <c r="H9" s="24"/>
      <c r="I9" s="24"/>
      <c r="J9" s="28"/>
      <c r="K9" s="28"/>
      <c r="L9" s="24"/>
      <c r="N9" s="29" t="s">
        <v>244</v>
      </c>
    </row>
    <row r="10" spans="1:14" ht="10.5">
      <c r="A10" s="25">
        <v>4</v>
      </c>
      <c r="B10" s="7" t="s">
        <v>82</v>
      </c>
      <c r="C10" s="29" t="s">
        <v>243</v>
      </c>
      <c r="D10" s="32">
        <v>0</v>
      </c>
      <c r="F10" s="24">
        <f>ROUND(СУММПРОИЗВЕСЛИ(0.01,Определители!I6:I17," ",'Базовые цены с учетом расхода'!B6:B17,Начисления!Y6:Y17,0),2)</f>
        <v>0</v>
      </c>
      <c r="G10" s="24"/>
      <c r="H10" s="24"/>
      <c r="I10" s="24"/>
      <c r="J10" s="28"/>
      <c r="K10" s="28"/>
      <c r="L10" s="24"/>
      <c r="N10" s="29" t="s">
        <v>245</v>
      </c>
    </row>
    <row r="11" spans="1:14" ht="10.5">
      <c r="A11" s="25">
        <v>5</v>
      </c>
      <c r="B11" s="7" t="s">
        <v>83</v>
      </c>
      <c r="C11" s="29" t="s">
        <v>243</v>
      </c>
      <c r="D11" s="32">
        <v>0</v>
      </c>
      <c r="F11" s="24">
        <f>ROUND(ТРАНСПРАСХОД(Определители!B6:B17,Определители!H6:H17,Определители!I6:I17,'Базовые цены с учетом расхода'!B6:B17,Начисления!Z6:Z17,Начисления!AA6:AA17),2)</f>
        <v>0</v>
      </c>
      <c r="G11" s="24"/>
      <c r="H11" s="24"/>
      <c r="I11" s="24"/>
      <c r="J11" s="28"/>
      <c r="K11" s="28"/>
      <c r="L11" s="24"/>
      <c r="N11" s="29" t="s">
        <v>246</v>
      </c>
    </row>
    <row r="12" spans="1:14" ht="10.5">
      <c r="A12" s="25">
        <v>6</v>
      </c>
      <c r="B12" s="7" t="s">
        <v>84</v>
      </c>
      <c r="C12" s="29" t="s">
        <v>243</v>
      </c>
      <c r="D12" s="32">
        <v>0</v>
      </c>
      <c r="F12" s="24">
        <f>ROUND(СУММПРОИЗВЕСЛИ(0.01,Определители!I6:I17," ",'Базовые цены с учетом расхода'!B6:B17,Начисления!AC6:AC17,0),2)</f>
        <v>0</v>
      </c>
      <c r="G12" s="24"/>
      <c r="H12" s="24"/>
      <c r="I12" s="24"/>
      <c r="J12" s="28"/>
      <c r="K12" s="28"/>
      <c r="L12" s="24"/>
      <c r="N12" s="29" t="s">
        <v>247</v>
      </c>
    </row>
    <row r="13" spans="1:14" ht="10.5">
      <c r="A13" s="25">
        <v>7</v>
      </c>
      <c r="B13" s="7" t="s">
        <v>85</v>
      </c>
      <c r="C13" s="29" t="s">
        <v>243</v>
      </c>
      <c r="D13" s="32">
        <v>0</v>
      </c>
      <c r="F13" s="24">
        <f>ROUND(СУММПРОИЗВЕСЛИ(0.01,Определители!I6:I17," ",'Базовые цены с учетом расхода'!B6:B17,Начисления!AF6:AF17,0),2)</f>
        <v>0</v>
      </c>
      <c r="G13" s="24"/>
      <c r="H13" s="24"/>
      <c r="I13" s="24"/>
      <c r="J13" s="28"/>
      <c r="K13" s="28"/>
      <c r="L13" s="24"/>
      <c r="N13" s="29" t="s">
        <v>248</v>
      </c>
    </row>
    <row r="14" spans="1:14" ht="10.5">
      <c r="A14" s="25">
        <v>8</v>
      </c>
      <c r="B14" s="7" t="s">
        <v>86</v>
      </c>
      <c r="C14" s="29" t="s">
        <v>243</v>
      </c>
      <c r="D14" s="32">
        <v>0</v>
      </c>
      <c r="F14" s="24">
        <f>ROUND(ЗАГОТСКЛАДРАСХОД(Определители!B6:B17,Определители!H6:H17,Определители!I6:I17,'Базовые цены с учетом расхода'!B6:B17,Начисления!X6:X17,Начисления!Y6:Y17,Начисления!Z6:Z17,Начисления!AA6:AA17,Начисления!AB6:AB17,Начисления!AC6:AC17,Начисления!AF6:AF17),2)</f>
        <v>0</v>
      </c>
      <c r="G14" s="24"/>
      <c r="H14" s="24"/>
      <c r="I14" s="24"/>
      <c r="J14" s="28"/>
      <c r="K14" s="28"/>
      <c r="L14" s="24"/>
      <c r="N14" s="29" t="s">
        <v>249</v>
      </c>
    </row>
    <row r="15" spans="1:14" ht="10.5">
      <c r="A15" s="25">
        <v>9</v>
      </c>
      <c r="B15" s="7" t="s">
        <v>87</v>
      </c>
      <c r="C15" s="29" t="s">
        <v>243</v>
      </c>
      <c r="D15" s="32">
        <v>0</v>
      </c>
      <c r="F15" s="24">
        <f>ROUND(СУММПРОИЗВЕСЛИ(1,Определители!I6:I17," ",'Базовые цены с учетом расхода'!M6:M17,Начисления!I6:I17,0),2)</f>
        <v>0</v>
      </c>
      <c r="G15" s="24"/>
      <c r="H15" s="24"/>
      <c r="I15" s="24"/>
      <c r="J15" s="28"/>
      <c r="K15" s="28"/>
      <c r="L15" s="24"/>
      <c r="N15" s="29" t="s">
        <v>250</v>
      </c>
    </row>
    <row r="16" spans="1:14" ht="10.5">
      <c r="A16" s="25">
        <v>10</v>
      </c>
      <c r="B16" s="7" t="s">
        <v>88</v>
      </c>
      <c r="C16" s="29" t="s">
        <v>251</v>
      </c>
      <c r="D16" s="32">
        <v>0</v>
      </c>
      <c r="F16" s="24">
        <f>ROUND((F15+F26+F46),2)</f>
        <v>0</v>
      </c>
      <c r="G16" s="24"/>
      <c r="H16" s="24"/>
      <c r="I16" s="24"/>
      <c r="J16" s="28"/>
      <c r="K16" s="28"/>
      <c r="L16" s="24"/>
      <c r="N16" s="29" t="s">
        <v>252</v>
      </c>
    </row>
    <row r="17" spans="1:14" ht="10.5">
      <c r="A17" s="25">
        <v>11</v>
      </c>
      <c r="B17" s="7" t="s">
        <v>89</v>
      </c>
      <c r="C17" s="29" t="s">
        <v>251</v>
      </c>
      <c r="D17" s="32">
        <v>0</v>
      </c>
      <c r="F17" s="24">
        <f>ROUND((F8+F9+F10+F11+F12+F13+F14+F16),2)</f>
        <v>0</v>
      </c>
      <c r="G17" s="24"/>
      <c r="H17" s="24"/>
      <c r="I17" s="24"/>
      <c r="J17" s="28"/>
      <c r="K17" s="28"/>
      <c r="L17" s="24"/>
      <c r="N17" s="29" t="s">
        <v>253</v>
      </c>
    </row>
    <row r="18" spans="1:14" ht="10.5">
      <c r="A18" s="25">
        <v>12</v>
      </c>
      <c r="B18" s="7" t="s">
        <v>90</v>
      </c>
      <c r="C18" s="29" t="s">
        <v>243</v>
      </c>
      <c r="D18" s="32">
        <v>0</v>
      </c>
      <c r="F18" s="24">
        <f>ROUND(SUMIF(Определители!I6:I17,"=1",'Базовые цены с учетом расхода'!B6:B17),2)</f>
        <v>0</v>
      </c>
      <c r="G18" s="24">
        <f>ROUND(SUMIF(Определители!I6:I17,"=1",'Базовые цены с учетом расхода'!C6:C17),2)</f>
        <v>0</v>
      </c>
      <c r="H18" s="24">
        <f>ROUND(SUMIF(Определители!I6:I17,"=1",'Базовые цены с учетом расхода'!D6:D17),2)</f>
        <v>0</v>
      </c>
      <c r="I18" s="24">
        <f>ROUND(SUMIF(Определители!I6:I17,"=1",'Базовые цены с учетом расхода'!E6:E17),2)</f>
        <v>0</v>
      </c>
      <c r="J18" s="28">
        <f>ROUND(SUMIF(Определители!I6:I17,"=1",'Базовые цены с учетом расхода'!I6:I17),8)</f>
        <v>0</v>
      </c>
      <c r="K18" s="28">
        <f>ROUND(SUMIF(Определители!I6:I17,"=1",'Базовые цены с учетом расхода'!K6:K17),8)</f>
        <v>0</v>
      </c>
      <c r="L18" s="24">
        <f>ROUND(SUMIF(Определители!I6:I17,"=1",'Базовые цены с учетом расхода'!F6:F17),2)</f>
        <v>0</v>
      </c>
      <c r="N18" s="29" t="s">
        <v>254</v>
      </c>
    </row>
    <row r="19" spans="1:14" ht="10.5">
      <c r="A19" s="25">
        <v>13</v>
      </c>
      <c r="B19" s="7" t="s">
        <v>91</v>
      </c>
      <c r="C19" s="29" t="s">
        <v>243</v>
      </c>
      <c r="D19" s="32">
        <v>0</v>
      </c>
      <c r="F19" s="24"/>
      <c r="G19" s="24"/>
      <c r="H19" s="24"/>
      <c r="I19" s="24"/>
      <c r="J19" s="28"/>
      <c r="K19" s="28"/>
      <c r="L19" s="24"/>
      <c r="N19" s="29" t="s">
        <v>255</v>
      </c>
    </row>
    <row r="20" spans="1:14" ht="10.5">
      <c r="A20" s="25">
        <v>14</v>
      </c>
      <c r="B20" s="7" t="s">
        <v>92</v>
      </c>
      <c r="C20" s="29" t="s">
        <v>243</v>
      </c>
      <c r="D20" s="32">
        <v>0</v>
      </c>
      <c r="F20" s="24"/>
      <c r="G20" s="24">
        <f>ROUND(SUMIF(Определители!I6:I17,"=1",'Базовые цены с учетом расхода'!U6:U17),2)</f>
        <v>0</v>
      </c>
      <c r="H20" s="24"/>
      <c r="I20" s="24"/>
      <c r="J20" s="28"/>
      <c r="K20" s="28"/>
      <c r="L20" s="24"/>
      <c r="N20" s="29" t="s">
        <v>256</v>
      </c>
    </row>
    <row r="21" spans="1:14" ht="10.5">
      <c r="A21" s="25">
        <v>15</v>
      </c>
      <c r="B21" s="7" t="s">
        <v>93</v>
      </c>
      <c r="C21" s="29" t="s">
        <v>243</v>
      </c>
      <c r="D21" s="32">
        <v>0</v>
      </c>
      <c r="F21" s="24">
        <f>ROUND(SUMIF(Определители!I6:I17,"=1",'Базовые цены с учетом расхода'!V6:V17),2)</f>
        <v>0</v>
      </c>
      <c r="G21" s="24"/>
      <c r="H21" s="24"/>
      <c r="I21" s="24"/>
      <c r="J21" s="28"/>
      <c r="K21" s="28"/>
      <c r="L21" s="24"/>
      <c r="N21" s="29" t="s">
        <v>257</v>
      </c>
    </row>
    <row r="22" spans="1:14" ht="10.5">
      <c r="A22" s="25">
        <v>16</v>
      </c>
      <c r="B22" s="7" t="s">
        <v>94</v>
      </c>
      <c r="C22" s="29" t="s">
        <v>243</v>
      </c>
      <c r="D22" s="32">
        <v>0</v>
      </c>
      <c r="F22" s="24">
        <f>ROUND(СУММЕСЛИ2(Определители!I6:I17,"1",Определители!G6:G17,"1",'Базовые цены с учетом расхода'!B6:B17),2)</f>
        <v>0</v>
      </c>
      <c r="G22" s="24"/>
      <c r="H22" s="24"/>
      <c r="I22" s="24"/>
      <c r="J22" s="28"/>
      <c r="K22" s="28"/>
      <c r="L22" s="24"/>
      <c r="N22" s="29" t="s">
        <v>258</v>
      </c>
    </row>
    <row r="23" spans="1:14" ht="10.5">
      <c r="A23" s="25">
        <v>17</v>
      </c>
      <c r="B23" s="7" t="s">
        <v>95</v>
      </c>
      <c r="C23" s="29" t="s">
        <v>243</v>
      </c>
      <c r="D23" s="32">
        <v>0</v>
      </c>
      <c r="F23" s="24">
        <f>ROUND(SUMIF(Определители!I6:I17,"=1",'Базовые цены с учетом расхода'!H6:H17),2)</f>
        <v>0</v>
      </c>
      <c r="G23" s="24"/>
      <c r="H23" s="24"/>
      <c r="I23" s="24"/>
      <c r="J23" s="28"/>
      <c r="K23" s="28"/>
      <c r="L23" s="24"/>
      <c r="N23" s="29" t="s">
        <v>259</v>
      </c>
    </row>
    <row r="24" spans="1:14" ht="10.5">
      <c r="A24" s="25">
        <v>18</v>
      </c>
      <c r="B24" s="7" t="s">
        <v>96</v>
      </c>
      <c r="C24" s="29" t="s">
        <v>243</v>
      </c>
      <c r="D24" s="32">
        <v>0</v>
      </c>
      <c r="F24" s="24">
        <f>ROUND(SUMIF(Определители!I6:I17,"=1",'Базовые цены с учетом расхода'!N6:N17),2)</f>
        <v>0</v>
      </c>
      <c r="G24" s="24"/>
      <c r="H24" s="24"/>
      <c r="I24" s="24"/>
      <c r="J24" s="28"/>
      <c r="K24" s="28"/>
      <c r="L24" s="24"/>
      <c r="N24" s="29" t="s">
        <v>260</v>
      </c>
    </row>
    <row r="25" spans="1:14" ht="10.5">
      <c r="A25" s="25">
        <v>19</v>
      </c>
      <c r="B25" s="7" t="s">
        <v>97</v>
      </c>
      <c r="C25" s="29" t="s">
        <v>243</v>
      </c>
      <c r="D25" s="32">
        <v>0</v>
      </c>
      <c r="F25" s="24">
        <f>ROUND(SUMIF(Определители!I6:I17,"=1",'Базовые цены с учетом расхода'!O6:O17),2)</f>
        <v>0</v>
      </c>
      <c r="G25" s="24"/>
      <c r="H25" s="24"/>
      <c r="I25" s="24"/>
      <c r="J25" s="28"/>
      <c r="K25" s="28"/>
      <c r="L25" s="24"/>
      <c r="N25" s="29" t="s">
        <v>261</v>
      </c>
    </row>
    <row r="26" spans="1:14" ht="10.5">
      <c r="A26" s="25">
        <v>20</v>
      </c>
      <c r="B26" s="7" t="s">
        <v>88</v>
      </c>
      <c r="C26" s="29" t="s">
        <v>243</v>
      </c>
      <c r="D26" s="32">
        <v>0</v>
      </c>
      <c r="F26" s="24">
        <f>ROUND(СУММПРОИЗВЕСЛИ(1,Определители!I6:I17," ",'Базовые цены с учетом расхода'!M6:M17,Начисления!I6:I17,0),2)</f>
        <v>0</v>
      </c>
      <c r="G26" s="24"/>
      <c r="H26" s="24"/>
      <c r="I26" s="24"/>
      <c r="J26" s="28"/>
      <c r="K26" s="28"/>
      <c r="L26" s="24"/>
      <c r="N26" s="29" t="s">
        <v>262</v>
      </c>
    </row>
    <row r="27" spans="1:14" ht="10.5">
      <c r="A27" s="25">
        <v>21</v>
      </c>
      <c r="B27" s="7" t="s">
        <v>98</v>
      </c>
      <c r="C27" s="29" t="s">
        <v>251</v>
      </c>
      <c r="D27" s="32">
        <v>0</v>
      </c>
      <c r="F27" s="24">
        <f>ROUND((F18+F24+F25),2)</f>
        <v>0</v>
      </c>
      <c r="G27" s="24"/>
      <c r="H27" s="24"/>
      <c r="I27" s="24"/>
      <c r="J27" s="28"/>
      <c r="K27" s="28"/>
      <c r="L27" s="24"/>
      <c r="N27" s="29" t="s">
        <v>263</v>
      </c>
    </row>
    <row r="28" spans="1:14" ht="10.5">
      <c r="A28" s="25">
        <v>22</v>
      </c>
      <c r="B28" s="7" t="s">
        <v>99</v>
      </c>
      <c r="C28" s="29" t="s">
        <v>243</v>
      </c>
      <c r="D28" s="32">
        <v>0</v>
      </c>
      <c r="F28" s="24">
        <f>ROUND(SUMIF(Определители!I6:I17,"=2",'Базовые цены с учетом расхода'!B6:B17),2)</f>
        <v>17933.27</v>
      </c>
      <c r="G28" s="24">
        <f>ROUND(SUMIF(Определители!I6:I17,"=2",'Базовые цены с учетом расхода'!C6:C17),2)</f>
        <v>793.13</v>
      </c>
      <c r="H28" s="24">
        <f>ROUND(SUMIF(Определители!I6:I17,"=2",'Базовые цены с учетом расхода'!D6:D17),2)</f>
        <v>2966.45</v>
      </c>
      <c r="I28" s="24">
        <f>ROUND(SUMIF(Определители!I6:I17,"=2",'Базовые цены с учетом расхода'!E6:E17),2)</f>
        <v>556.91</v>
      </c>
      <c r="J28" s="28">
        <f>ROUND(SUMIF(Определители!I6:I17,"=2",'Базовые цены с учетом расхода'!I6:I17),8)</f>
        <v>64.9240728</v>
      </c>
      <c r="K28" s="28">
        <f>ROUND(SUMIF(Определители!I6:I17,"=2",'Базовые цены с учетом расхода'!K6:K17),8)</f>
        <v>40.674155</v>
      </c>
      <c r="L28" s="24">
        <f>ROUND(SUMIF(Определители!I6:I17,"=2",'Базовые цены с учетом расхода'!F6:F17),2)</f>
        <v>14173.69</v>
      </c>
      <c r="N28" s="29" t="s">
        <v>264</v>
      </c>
    </row>
    <row r="29" spans="1:14" ht="10.5">
      <c r="A29" s="25">
        <v>23</v>
      </c>
      <c r="B29" s="7" t="s">
        <v>91</v>
      </c>
      <c r="C29" s="29" t="s">
        <v>243</v>
      </c>
      <c r="D29" s="32">
        <v>0</v>
      </c>
      <c r="F29" s="24"/>
      <c r="G29" s="24"/>
      <c r="H29" s="24"/>
      <c r="I29" s="24"/>
      <c r="J29" s="28"/>
      <c r="K29" s="28"/>
      <c r="L29" s="24"/>
      <c r="N29" s="29" t="s">
        <v>265</v>
      </c>
    </row>
    <row r="30" spans="1:14" ht="10.5">
      <c r="A30" s="25">
        <v>24</v>
      </c>
      <c r="B30" s="7" t="s">
        <v>100</v>
      </c>
      <c r="C30" s="29" t="s">
        <v>243</v>
      </c>
      <c r="D30" s="32">
        <v>0</v>
      </c>
      <c r="F30" s="24">
        <f>ROUND(SUMIF(Определители!G6:G17,"=1",'Базовые цены с учетом расхода'!F6:F17),2)</f>
        <v>0</v>
      </c>
      <c r="G30" s="24"/>
      <c r="H30" s="24"/>
      <c r="I30" s="24"/>
      <c r="J30" s="28"/>
      <c r="K30" s="28"/>
      <c r="L30" s="24"/>
      <c r="N30" s="29" t="s">
        <v>266</v>
      </c>
    </row>
    <row r="31" spans="1:14" ht="10.5">
      <c r="A31" s="25">
        <v>25</v>
      </c>
      <c r="B31" s="7" t="s">
        <v>95</v>
      </c>
      <c r="C31" s="29" t="s">
        <v>243</v>
      </c>
      <c r="D31" s="32">
        <v>0</v>
      </c>
      <c r="F31" s="24">
        <f>ROUND(SUMIF(Определители!I6:I17,"=2",'Базовые цены с учетом расхода'!H6:H17),2)</f>
        <v>0</v>
      </c>
      <c r="G31" s="24"/>
      <c r="H31" s="24"/>
      <c r="I31" s="24"/>
      <c r="J31" s="28"/>
      <c r="K31" s="28"/>
      <c r="L31" s="24"/>
      <c r="N31" s="29" t="s">
        <v>267</v>
      </c>
    </row>
    <row r="32" spans="1:14" ht="10.5">
      <c r="A32" s="25">
        <v>26</v>
      </c>
      <c r="B32" s="7" t="s">
        <v>96</v>
      </c>
      <c r="C32" s="29" t="s">
        <v>243</v>
      </c>
      <c r="D32" s="32">
        <v>0</v>
      </c>
      <c r="F32" s="24">
        <f>ROUND(SUMIF(Определители!I6:I17,"=2",'Базовые цены с учетом расхода'!N6:N17),2)</f>
        <v>1506.64</v>
      </c>
      <c r="G32" s="24"/>
      <c r="H32" s="24"/>
      <c r="I32" s="24"/>
      <c r="J32" s="28"/>
      <c r="K32" s="28"/>
      <c r="L32" s="24"/>
      <c r="N32" s="29" t="s">
        <v>268</v>
      </c>
    </row>
    <row r="33" spans="1:14" ht="10.5">
      <c r="A33" s="25">
        <v>27</v>
      </c>
      <c r="B33" s="7" t="s">
        <v>97</v>
      </c>
      <c r="C33" s="29" t="s">
        <v>243</v>
      </c>
      <c r="D33" s="32">
        <v>0</v>
      </c>
      <c r="F33" s="24">
        <f>ROUND(SUMIF(Определители!I6:I17,"=2",'Базовые цены с учетом расхода'!O6:O17),2)</f>
        <v>860.64</v>
      </c>
      <c r="G33" s="24"/>
      <c r="H33" s="24"/>
      <c r="I33" s="24"/>
      <c r="J33" s="28"/>
      <c r="K33" s="28"/>
      <c r="L33" s="24"/>
      <c r="N33" s="29" t="s">
        <v>269</v>
      </c>
    </row>
    <row r="34" spans="1:14" ht="10.5">
      <c r="A34" s="25">
        <v>28</v>
      </c>
      <c r="B34" s="7" t="s">
        <v>103</v>
      </c>
      <c r="C34" s="29" t="s">
        <v>251</v>
      </c>
      <c r="D34" s="32">
        <v>0</v>
      </c>
      <c r="F34" s="24">
        <f>ROUND((F28+F32+F33),2)</f>
        <v>20300.55</v>
      </c>
      <c r="G34" s="24"/>
      <c r="H34" s="24"/>
      <c r="I34" s="24"/>
      <c r="J34" s="28"/>
      <c r="K34" s="28"/>
      <c r="L34" s="24"/>
      <c r="N34" s="29" t="s">
        <v>270</v>
      </c>
    </row>
    <row r="35" spans="1:14" ht="10.5">
      <c r="A35" s="25">
        <v>29</v>
      </c>
      <c r="B35" s="7" t="s">
        <v>104</v>
      </c>
      <c r="C35" s="29" t="s">
        <v>243</v>
      </c>
      <c r="D35" s="32">
        <v>0</v>
      </c>
      <c r="F35" s="24">
        <f>ROUND(SUMIF(Определители!I6:I17,"=3",'Базовые цены с учетом расхода'!B6:B17),2)</f>
        <v>0</v>
      </c>
      <c r="G35" s="24">
        <f>ROUND(SUMIF(Определители!I6:I17,"=3",'Базовые цены с учетом расхода'!C6:C17),2)</f>
        <v>0</v>
      </c>
      <c r="H35" s="24">
        <f>ROUND(SUMIF(Определители!I6:I17,"=3",'Базовые цены с учетом расхода'!D6:D17),2)</f>
        <v>0</v>
      </c>
      <c r="I35" s="24">
        <f>ROUND(SUMIF(Определители!I6:I17,"=3",'Базовые цены с учетом расхода'!E6:E17),2)</f>
        <v>0</v>
      </c>
      <c r="J35" s="28">
        <f>ROUND(SUMIF(Определители!I6:I17,"=3",'Базовые цены с учетом расхода'!I6:I17),8)</f>
        <v>0</v>
      </c>
      <c r="K35" s="28">
        <f>ROUND(SUMIF(Определители!I6:I17,"=3",'Базовые цены с учетом расхода'!K6:K17),8)</f>
        <v>0</v>
      </c>
      <c r="L35" s="24">
        <f>ROUND(SUMIF(Определители!I6:I17,"=3",'Базовые цены с учетом расхода'!F6:F17),2)</f>
        <v>0</v>
      </c>
      <c r="N35" s="29" t="s">
        <v>271</v>
      </c>
    </row>
    <row r="36" spans="1:14" ht="10.5">
      <c r="A36" s="25">
        <v>30</v>
      </c>
      <c r="B36" s="7" t="s">
        <v>95</v>
      </c>
      <c r="C36" s="29" t="s">
        <v>243</v>
      </c>
      <c r="D36" s="32">
        <v>0</v>
      </c>
      <c r="F36" s="24">
        <f>ROUND(SUMIF(Определители!I6:I17,"=3",'Базовые цены с учетом расхода'!H6:H17),2)</f>
        <v>0</v>
      </c>
      <c r="G36" s="24"/>
      <c r="H36" s="24"/>
      <c r="I36" s="24"/>
      <c r="J36" s="28"/>
      <c r="K36" s="28"/>
      <c r="L36" s="24"/>
      <c r="N36" s="29" t="s">
        <v>272</v>
      </c>
    </row>
    <row r="37" spans="1:14" ht="10.5">
      <c r="A37" s="25">
        <v>31</v>
      </c>
      <c r="B37" s="7" t="s">
        <v>96</v>
      </c>
      <c r="C37" s="29" t="s">
        <v>243</v>
      </c>
      <c r="D37" s="32">
        <v>0</v>
      </c>
      <c r="F37" s="24">
        <f>ROUND(SUMIF(Определители!I6:I17,"=3",'Базовые цены с учетом расхода'!N6:N17),2)</f>
        <v>0</v>
      </c>
      <c r="G37" s="24"/>
      <c r="H37" s="24"/>
      <c r="I37" s="24"/>
      <c r="J37" s="28"/>
      <c r="K37" s="28"/>
      <c r="L37" s="24"/>
      <c r="N37" s="29" t="s">
        <v>273</v>
      </c>
    </row>
    <row r="38" spans="1:14" ht="10.5">
      <c r="A38" s="25">
        <v>32</v>
      </c>
      <c r="B38" s="7" t="s">
        <v>97</v>
      </c>
      <c r="C38" s="29" t="s">
        <v>243</v>
      </c>
      <c r="D38" s="32">
        <v>0</v>
      </c>
      <c r="F38" s="24">
        <f>ROUND(SUMIF(Определители!I6:I17,"=3",'Базовые цены с учетом расхода'!O6:O17),2)</f>
        <v>0</v>
      </c>
      <c r="G38" s="24"/>
      <c r="H38" s="24"/>
      <c r="I38" s="24"/>
      <c r="J38" s="28"/>
      <c r="K38" s="28"/>
      <c r="L38" s="24"/>
      <c r="N38" s="29" t="s">
        <v>274</v>
      </c>
    </row>
    <row r="39" spans="1:14" ht="10.5">
      <c r="A39" s="25">
        <v>33</v>
      </c>
      <c r="B39" s="7" t="s">
        <v>105</v>
      </c>
      <c r="C39" s="29" t="s">
        <v>251</v>
      </c>
      <c r="D39" s="32">
        <v>0</v>
      </c>
      <c r="F39" s="24">
        <f>ROUND((F35+F37+F38),2)</f>
        <v>0</v>
      </c>
      <c r="G39" s="24"/>
      <c r="H39" s="24"/>
      <c r="I39" s="24"/>
      <c r="J39" s="28"/>
      <c r="K39" s="28"/>
      <c r="L39" s="24"/>
      <c r="N39" s="29" t="s">
        <v>275</v>
      </c>
    </row>
    <row r="40" spans="1:14" ht="10.5">
      <c r="A40" s="25">
        <v>34</v>
      </c>
      <c r="B40" s="7" t="s">
        <v>106</v>
      </c>
      <c r="C40" s="29" t="s">
        <v>243</v>
      </c>
      <c r="D40" s="32">
        <v>0</v>
      </c>
      <c r="F40" s="24">
        <f>ROUND(SUMIF(Определители!I6:I17,"=4",'Базовые цены с учетом расхода'!B6:B17),2)</f>
        <v>0</v>
      </c>
      <c r="G40" s="24">
        <f>ROUND(SUMIF(Определители!I6:I17,"=4",'Базовые цены с учетом расхода'!C6:C17),2)</f>
        <v>0</v>
      </c>
      <c r="H40" s="24">
        <f>ROUND(SUMIF(Определители!I6:I17,"=4",'Базовые цены с учетом расхода'!D6:D17),2)</f>
        <v>0</v>
      </c>
      <c r="I40" s="24">
        <f>ROUND(SUMIF(Определители!I6:I17,"=4",'Базовые цены с учетом расхода'!E6:E17),2)</f>
        <v>0</v>
      </c>
      <c r="J40" s="28">
        <f>ROUND(SUMIF(Определители!I6:I17,"=4",'Базовые цены с учетом расхода'!I6:I17),8)</f>
        <v>0</v>
      </c>
      <c r="K40" s="28">
        <f>ROUND(SUMIF(Определители!I6:I17,"=4",'Базовые цены с учетом расхода'!K6:K17),8)</f>
        <v>0</v>
      </c>
      <c r="L40" s="24">
        <f>ROUND(SUMIF(Определители!I6:I17,"=4",'Базовые цены с учетом расхода'!F6:F17),2)</f>
        <v>0</v>
      </c>
      <c r="N40" s="29" t="s">
        <v>276</v>
      </c>
    </row>
    <row r="41" spans="1:14" ht="10.5">
      <c r="A41" s="25">
        <v>35</v>
      </c>
      <c r="B41" s="7" t="s">
        <v>91</v>
      </c>
      <c r="C41" s="29" t="s">
        <v>243</v>
      </c>
      <c r="D41" s="32">
        <v>0</v>
      </c>
      <c r="F41" s="24"/>
      <c r="G41" s="24"/>
      <c r="H41" s="24"/>
      <c r="I41" s="24"/>
      <c r="J41" s="28"/>
      <c r="K41" s="28"/>
      <c r="L41" s="24"/>
      <c r="N41" s="29" t="s">
        <v>277</v>
      </c>
    </row>
    <row r="42" spans="1:14" ht="10.5">
      <c r="A42" s="25">
        <v>36</v>
      </c>
      <c r="B42" s="7" t="s">
        <v>107</v>
      </c>
      <c r="C42" s="29" t="s">
        <v>243</v>
      </c>
      <c r="D42" s="32">
        <v>0</v>
      </c>
      <c r="F42" s="24"/>
      <c r="G42" s="24"/>
      <c r="H42" s="24"/>
      <c r="I42" s="24"/>
      <c r="J42" s="28"/>
      <c r="K42" s="28"/>
      <c r="L42" s="24"/>
      <c r="N42" s="29" t="s">
        <v>278</v>
      </c>
    </row>
    <row r="43" spans="1:14" ht="10.5">
      <c r="A43" s="25">
        <v>37</v>
      </c>
      <c r="B43" s="7" t="s">
        <v>95</v>
      </c>
      <c r="C43" s="29" t="s">
        <v>243</v>
      </c>
      <c r="D43" s="32">
        <v>0</v>
      </c>
      <c r="F43" s="24">
        <f>ROUND(SUMIF(Определители!I6:I17,"=4",'Базовые цены с учетом расхода'!H6:H17),2)</f>
        <v>0</v>
      </c>
      <c r="G43" s="24"/>
      <c r="H43" s="24"/>
      <c r="I43" s="24"/>
      <c r="J43" s="28"/>
      <c r="K43" s="28"/>
      <c r="L43" s="24"/>
      <c r="N43" s="29" t="s">
        <v>279</v>
      </c>
    </row>
    <row r="44" spans="1:14" ht="10.5">
      <c r="A44" s="25">
        <v>38</v>
      </c>
      <c r="B44" s="7" t="s">
        <v>96</v>
      </c>
      <c r="C44" s="29" t="s">
        <v>243</v>
      </c>
      <c r="D44" s="32">
        <v>0</v>
      </c>
      <c r="F44" s="24">
        <f>ROUND(SUMIF(Определители!I6:I17,"=4",'Базовые цены с учетом расхода'!N6:N17),2)</f>
        <v>0</v>
      </c>
      <c r="G44" s="24"/>
      <c r="H44" s="24"/>
      <c r="I44" s="24"/>
      <c r="J44" s="28"/>
      <c r="K44" s="28"/>
      <c r="L44" s="24"/>
      <c r="N44" s="29" t="s">
        <v>280</v>
      </c>
    </row>
    <row r="45" spans="1:14" ht="10.5">
      <c r="A45" s="25">
        <v>39</v>
      </c>
      <c r="B45" s="7" t="s">
        <v>97</v>
      </c>
      <c r="C45" s="29" t="s">
        <v>243</v>
      </c>
      <c r="D45" s="32">
        <v>0</v>
      </c>
      <c r="F45" s="24">
        <f>ROUND(SUMIF(Определители!I6:I17,"=4",'Базовые цены с учетом расхода'!O6:O17),2)</f>
        <v>0</v>
      </c>
      <c r="G45" s="24"/>
      <c r="H45" s="24"/>
      <c r="I45" s="24"/>
      <c r="J45" s="28"/>
      <c r="K45" s="28"/>
      <c r="L45" s="24"/>
      <c r="N45" s="29" t="s">
        <v>281</v>
      </c>
    </row>
    <row r="46" spans="1:14" ht="10.5">
      <c r="A46" s="25">
        <v>40</v>
      </c>
      <c r="B46" s="7" t="s">
        <v>88</v>
      </c>
      <c r="C46" s="29" t="s">
        <v>243</v>
      </c>
      <c r="D46" s="32">
        <v>0</v>
      </c>
      <c r="F46" s="24">
        <f>ROUND(СУММПРОИЗВЕСЛИ(1,Определители!I6:I17," ",'Базовые цены с учетом расхода'!M6:M17,Начисления!I6:I17,0),2)</f>
        <v>0</v>
      </c>
      <c r="G46" s="24"/>
      <c r="H46" s="24"/>
      <c r="I46" s="24"/>
      <c r="J46" s="28"/>
      <c r="K46" s="28"/>
      <c r="L46" s="24"/>
      <c r="N46" s="29" t="s">
        <v>282</v>
      </c>
    </row>
    <row r="47" spans="1:14" ht="10.5">
      <c r="A47" s="25">
        <v>41</v>
      </c>
      <c r="B47" s="7" t="s">
        <v>108</v>
      </c>
      <c r="C47" s="29" t="s">
        <v>251</v>
      </c>
      <c r="D47" s="32">
        <v>0</v>
      </c>
      <c r="F47" s="24">
        <f>ROUND((F40+F44+F45),2)</f>
        <v>0</v>
      </c>
      <c r="G47" s="24"/>
      <c r="H47" s="24"/>
      <c r="I47" s="24"/>
      <c r="J47" s="28"/>
      <c r="K47" s="28"/>
      <c r="L47" s="24"/>
      <c r="N47" s="29" t="s">
        <v>283</v>
      </c>
    </row>
    <row r="48" spans="1:14" ht="10.5">
      <c r="A48" s="25">
        <v>42</v>
      </c>
      <c r="B48" s="7" t="s">
        <v>109</v>
      </c>
      <c r="C48" s="29" t="s">
        <v>243</v>
      </c>
      <c r="D48" s="32">
        <v>0</v>
      </c>
      <c r="F48" s="24">
        <f>ROUND(SUMIF(Определители!I6:I17,"=5",'Базовые цены с учетом расхода'!B6:B17),2)</f>
        <v>0</v>
      </c>
      <c r="G48" s="24">
        <f>ROUND(SUMIF(Определители!I6:I17,"=5",'Базовые цены с учетом расхода'!C6:C17),2)</f>
        <v>0</v>
      </c>
      <c r="H48" s="24">
        <f>ROUND(SUMIF(Определители!I6:I17,"=5",'Базовые цены с учетом расхода'!D6:D17),2)</f>
        <v>0</v>
      </c>
      <c r="I48" s="24">
        <f>ROUND(SUMIF(Определители!I6:I17,"=5",'Базовые цены с учетом расхода'!E6:E17),2)</f>
        <v>0</v>
      </c>
      <c r="J48" s="28">
        <f>ROUND(SUMIF(Определители!I6:I17,"=5",'Базовые цены с учетом расхода'!I6:I17),8)</f>
        <v>0</v>
      </c>
      <c r="K48" s="28">
        <f>ROUND(SUMIF(Определители!I6:I17,"=5",'Базовые цены с учетом расхода'!K6:K17),8)</f>
        <v>0</v>
      </c>
      <c r="L48" s="24">
        <f>ROUND(SUMIF(Определители!I6:I17,"=5",'Базовые цены с учетом расхода'!F6:F17),2)</f>
        <v>0</v>
      </c>
      <c r="N48" s="29" t="s">
        <v>284</v>
      </c>
    </row>
    <row r="49" spans="1:14" ht="10.5">
      <c r="A49" s="25">
        <v>43</v>
      </c>
      <c r="B49" s="7" t="s">
        <v>95</v>
      </c>
      <c r="C49" s="29" t="s">
        <v>243</v>
      </c>
      <c r="D49" s="32">
        <v>0</v>
      </c>
      <c r="F49" s="24">
        <f>ROUND(SUMIF(Определители!I6:I17,"=5",'Базовые цены с учетом расхода'!H6:H17),2)</f>
        <v>0</v>
      </c>
      <c r="G49" s="24"/>
      <c r="H49" s="24"/>
      <c r="I49" s="24"/>
      <c r="J49" s="28"/>
      <c r="K49" s="28"/>
      <c r="L49" s="24"/>
      <c r="N49" s="29" t="s">
        <v>285</v>
      </c>
    </row>
    <row r="50" spans="1:14" ht="10.5">
      <c r="A50" s="25">
        <v>44</v>
      </c>
      <c r="B50" s="7" t="s">
        <v>96</v>
      </c>
      <c r="C50" s="29" t="s">
        <v>243</v>
      </c>
      <c r="D50" s="32">
        <v>0</v>
      </c>
      <c r="F50" s="24">
        <f>ROUND(SUMIF(Определители!I6:I17,"=5",'Базовые цены с учетом расхода'!N6:N17),2)</f>
        <v>0</v>
      </c>
      <c r="G50" s="24"/>
      <c r="H50" s="24"/>
      <c r="I50" s="24"/>
      <c r="J50" s="28"/>
      <c r="K50" s="28"/>
      <c r="L50" s="24"/>
      <c r="N50" s="29" t="s">
        <v>286</v>
      </c>
    </row>
    <row r="51" spans="1:14" ht="10.5">
      <c r="A51" s="25">
        <v>45</v>
      </c>
      <c r="B51" s="7" t="s">
        <v>97</v>
      </c>
      <c r="C51" s="29" t="s">
        <v>243</v>
      </c>
      <c r="D51" s="32">
        <v>0</v>
      </c>
      <c r="F51" s="24">
        <f>ROUND(SUMIF(Определители!I6:I17,"=5",'Базовые цены с учетом расхода'!O6:O17),2)</f>
        <v>0</v>
      </c>
      <c r="G51" s="24"/>
      <c r="H51" s="24"/>
      <c r="I51" s="24"/>
      <c r="J51" s="28"/>
      <c r="K51" s="28"/>
      <c r="L51" s="24"/>
      <c r="N51" s="29" t="s">
        <v>287</v>
      </c>
    </row>
    <row r="52" spans="1:14" ht="10.5">
      <c r="A52" s="25">
        <v>46</v>
      </c>
      <c r="B52" s="7" t="s">
        <v>110</v>
      </c>
      <c r="C52" s="29" t="s">
        <v>251</v>
      </c>
      <c r="D52" s="32">
        <v>0</v>
      </c>
      <c r="F52" s="24">
        <f>ROUND((F48+F50+F51),2)</f>
        <v>0</v>
      </c>
      <c r="G52" s="24"/>
      <c r="H52" s="24"/>
      <c r="I52" s="24"/>
      <c r="J52" s="28"/>
      <c r="K52" s="28"/>
      <c r="L52" s="24"/>
      <c r="N52" s="29" t="s">
        <v>288</v>
      </c>
    </row>
    <row r="53" spans="1:14" ht="10.5">
      <c r="A53" s="25">
        <v>47</v>
      </c>
      <c r="B53" s="7" t="s">
        <v>111</v>
      </c>
      <c r="C53" s="29" t="s">
        <v>243</v>
      </c>
      <c r="D53" s="32">
        <v>0</v>
      </c>
      <c r="F53" s="24">
        <f>ROUND(SUMIF(Определители!I6:I17,"=6",'Базовые цены с учетом расхода'!B6:B17),2)</f>
        <v>0</v>
      </c>
      <c r="G53" s="24">
        <f>ROUND(SUMIF(Определители!I6:I17,"=6",'Базовые цены с учетом расхода'!C6:C17),2)</f>
        <v>0</v>
      </c>
      <c r="H53" s="24">
        <f>ROUND(SUMIF(Определители!I6:I17,"=6",'Базовые цены с учетом расхода'!D6:D17),2)</f>
        <v>0</v>
      </c>
      <c r="I53" s="24">
        <f>ROUND(SUMIF(Определители!I6:I17,"=6",'Базовые цены с учетом расхода'!E6:E17),2)</f>
        <v>0</v>
      </c>
      <c r="J53" s="28">
        <f>ROUND(SUMIF(Определители!I6:I17,"=6",'Базовые цены с учетом расхода'!I6:I17),8)</f>
        <v>0</v>
      </c>
      <c r="K53" s="28">
        <f>ROUND(SUMIF(Определители!I6:I17,"=6",'Базовые цены с учетом расхода'!K6:K17),8)</f>
        <v>0</v>
      </c>
      <c r="L53" s="24">
        <f>ROUND(SUMIF(Определители!I6:I17,"=6",'Базовые цены с учетом расхода'!F6:F17),2)</f>
        <v>0</v>
      </c>
      <c r="N53" s="29" t="s">
        <v>289</v>
      </c>
    </row>
    <row r="54" spans="1:14" ht="10.5">
      <c r="A54" s="25">
        <v>48</v>
      </c>
      <c r="B54" s="7" t="s">
        <v>95</v>
      </c>
      <c r="C54" s="29" t="s">
        <v>243</v>
      </c>
      <c r="D54" s="32">
        <v>0</v>
      </c>
      <c r="F54" s="24">
        <f>ROUND(SUMIF(Определители!I6:I17,"=6",'Базовые цены с учетом расхода'!H6:H17),2)</f>
        <v>0</v>
      </c>
      <c r="G54" s="24"/>
      <c r="H54" s="24"/>
      <c r="I54" s="24"/>
      <c r="J54" s="28"/>
      <c r="K54" s="28"/>
      <c r="L54" s="24"/>
      <c r="N54" s="29" t="s">
        <v>290</v>
      </c>
    </row>
    <row r="55" spans="1:14" ht="10.5">
      <c r="A55" s="25">
        <v>49</v>
      </c>
      <c r="B55" s="7" t="s">
        <v>96</v>
      </c>
      <c r="C55" s="29" t="s">
        <v>243</v>
      </c>
      <c r="D55" s="32">
        <v>0</v>
      </c>
      <c r="F55" s="24">
        <f>ROUND(SUMIF(Определители!I6:I17,"=6",'Базовые цены с учетом расхода'!N6:N17),2)</f>
        <v>0</v>
      </c>
      <c r="G55" s="24"/>
      <c r="H55" s="24"/>
      <c r="I55" s="24"/>
      <c r="J55" s="28"/>
      <c r="K55" s="28"/>
      <c r="L55" s="24"/>
      <c r="N55" s="29" t="s">
        <v>291</v>
      </c>
    </row>
    <row r="56" spans="1:14" ht="10.5">
      <c r="A56" s="25">
        <v>50</v>
      </c>
      <c r="B56" s="7" t="s">
        <v>97</v>
      </c>
      <c r="C56" s="29" t="s">
        <v>243</v>
      </c>
      <c r="D56" s="32">
        <v>0</v>
      </c>
      <c r="F56" s="24">
        <f>ROUND(SUMIF(Определители!I6:I17,"=6",'Базовые цены с учетом расхода'!O6:O17),2)</f>
        <v>0</v>
      </c>
      <c r="G56" s="24"/>
      <c r="H56" s="24"/>
      <c r="I56" s="24"/>
      <c r="J56" s="28"/>
      <c r="K56" s="28"/>
      <c r="L56" s="24"/>
      <c r="N56" s="29" t="s">
        <v>292</v>
      </c>
    </row>
    <row r="57" spans="1:14" ht="10.5">
      <c r="A57" s="25">
        <v>51</v>
      </c>
      <c r="B57" s="7" t="s">
        <v>112</v>
      </c>
      <c r="C57" s="29" t="s">
        <v>251</v>
      </c>
      <c r="D57" s="32">
        <v>0</v>
      </c>
      <c r="F57" s="24">
        <f>ROUND((F53+F55+F56),2)</f>
        <v>0</v>
      </c>
      <c r="G57" s="24"/>
      <c r="H57" s="24"/>
      <c r="I57" s="24"/>
      <c r="J57" s="28"/>
      <c r="K57" s="28"/>
      <c r="L57" s="24"/>
      <c r="N57" s="29" t="s">
        <v>293</v>
      </c>
    </row>
    <row r="58" spans="1:14" ht="10.5">
      <c r="A58" s="25">
        <v>52</v>
      </c>
      <c r="B58" s="7" t="s">
        <v>113</v>
      </c>
      <c r="C58" s="29" t="s">
        <v>243</v>
      </c>
      <c r="D58" s="32">
        <v>0</v>
      </c>
      <c r="F58" s="24">
        <f>ROUND(SUMIF(Определители!I6:I17,"=7",'Базовые цены с учетом расхода'!B6:B17),2)</f>
        <v>0</v>
      </c>
      <c r="G58" s="24">
        <f>ROUND(SUMIF(Определители!I6:I17,"=7",'Базовые цены с учетом расхода'!C6:C17),2)</f>
        <v>0</v>
      </c>
      <c r="H58" s="24">
        <f>ROUND(SUMIF(Определители!I6:I17,"=7",'Базовые цены с учетом расхода'!D6:D17),2)</f>
        <v>0</v>
      </c>
      <c r="I58" s="24">
        <f>ROUND(SUMIF(Определители!I6:I17,"=7",'Базовые цены с учетом расхода'!E6:E17),2)</f>
        <v>0</v>
      </c>
      <c r="J58" s="28">
        <f>ROUND(SUMIF(Определители!I6:I17,"=7",'Базовые цены с учетом расхода'!I6:I17),8)</f>
        <v>0</v>
      </c>
      <c r="K58" s="28">
        <f>ROUND(SUMIF(Определители!I6:I17,"=7",'Базовые цены с учетом расхода'!K6:K17),8)</f>
        <v>0</v>
      </c>
      <c r="L58" s="24">
        <f>ROUND(SUMIF(Определители!I6:I17,"=7",'Базовые цены с учетом расхода'!F6:F17),2)</f>
        <v>0</v>
      </c>
      <c r="N58" s="29" t="s">
        <v>294</v>
      </c>
    </row>
    <row r="59" spans="1:14" ht="10.5">
      <c r="A59" s="25">
        <v>53</v>
      </c>
      <c r="B59" s="7" t="s">
        <v>91</v>
      </c>
      <c r="C59" s="29" t="s">
        <v>243</v>
      </c>
      <c r="D59" s="32">
        <v>0</v>
      </c>
      <c r="F59" s="24"/>
      <c r="G59" s="24"/>
      <c r="H59" s="24"/>
      <c r="I59" s="24"/>
      <c r="J59" s="28"/>
      <c r="K59" s="28"/>
      <c r="L59" s="24"/>
      <c r="N59" s="29" t="s">
        <v>295</v>
      </c>
    </row>
    <row r="60" spans="1:14" ht="10.5">
      <c r="A60" s="25">
        <v>54</v>
      </c>
      <c r="B60" s="7" t="s">
        <v>114</v>
      </c>
      <c r="C60" s="29" t="s">
        <v>243</v>
      </c>
      <c r="D60" s="32">
        <v>0</v>
      </c>
      <c r="F60" s="24">
        <f>ROUND(SUMIF(Определители!G6:G17,"=1",'Базовые цены с учетом расхода'!F6:F17),2)</f>
        <v>0</v>
      </c>
      <c r="G60" s="24"/>
      <c r="H60" s="24"/>
      <c r="I60" s="24"/>
      <c r="J60" s="28"/>
      <c r="K60" s="28"/>
      <c r="L60" s="24"/>
      <c r="N60" s="29" t="s">
        <v>296</v>
      </c>
    </row>
    <row r="61" spans="1:14" ht="10.5">
      <c r="A61" s="25">
        <v>55</v>
      </c>
      <c r="B61" s="7" t="s">
        <v>95</v>
      </c>
      <c r="C61" s="29" t="s">
        <v>243</v>
      </c>
      <c r="D61" s="32">
        <v>0</v>
      </c>
      <c r="F61" s="24">
        <f>ROUND(SUMIF(Определители!I6:I17,"=7",'Базовые цены с учетом расхода'!H6:H17),2)</f>
        <v>0</v>
      </c>
      <c r="G61" s="24"/>
      <c r="H61" s="24"/>
      <c r="I61" s="24"/>
      <c r="J61" s="28"/>
      <c r="K61" s="28"/>
      <c r="L61" s="24"/>
      <c r="N61" s="29" t="s">
        <v>297</v>
      </c>
    </row>
    <row r="62" spans="1:14" ht="10.5">
      <c r="A62" s="25">
        <v>56</v>
      </c>
      <c r="B62" s="7" t="s">
        <v>115</v>
      </c>
      <c r="C62" s="29" t="s">
        <v>243</v>
      </c>
      <c r="D62" s="32">
        <v>0</v>
      </c>
      <c r="F62" s="24">
        <f>ROUND(SUMIF(Определители!I6:I17,"=7",'Базовые цены с учетом расхода'!N6:N17),2)</f>
        <v>0</v>
      </c>
      <c r="G62" s="24"/>
      <c r="H62" s="24"/>
      <c r="I62" s="24"/>
      <c r="J62" s="28"/>
      <c r="K62" s="28"/>
      <c r="L62" s="24"/>
      <c r="N62" s="29" t="s">
        <v>298</v>
      </c>
    </row>
    <row r="63" spans="1:14" ht="10.5">
      <c r="A63" s="25">
        <v>57</v>
      </c>
      <c r="B63" s="7" t="s">
        <v>97</v>
      </c>
      <c r="C63" s="29" t="s">
        <v>243</v>
      </c>
      <c r="D63" s="32">
        <v>0</v>
      </c>
      <c r="F63" s="24">
        <f>ROUND(SUMIF(Определители!I6:I17,"=7",'Базовые цены с учетом расхода'!O6:O17),2)</f>
        <v>0</v>
      </c>
      <c r="G63" s="24"/>
      <c r="H63" s="24"/>
      <c r="I63" s="24"/>
      <c r="J63" s="28"/>
      <c r="K63" s="28"/>
      <c r="L63" s="24"/>
      <c r="N63" s="29" t="s">
        <v>299</v>
      </c>
    </row>
    <row r="64" spans="1:14" ht="10.5">
      <c r="A64" s="25">
        <v>58</v>
      </c>
      <c r="B64" s="7" t="s">
        <v>116</v>
      </c>
      <c r="C64" s="29" t="s">
        <v>251</v>
      </c>
      <c r="D64" s="32">
        <v>0</v>
      </c>
      <c r="F64" s="24">
        <f>ROUND((F58+F62+F63),2)</f>
        <v>0</v>
      </c>
      <c r="G64" s="24"/>
      <c r="H64" s="24"/>
      <c r="I64" s="24"/>
      <c r="J64" s="28"/>
      <c r="K64" s="28"/>
      <c r="L64" s="24"/>
      <c r="N64" s="29" t="s">
        <v>300</v>
      </c>
    </row>
    <row r="65" spans="1:14" ht="10.5">
      <c r="A65" s="25">
        <v>59</v>
      </c>
      <c r="B65" s="7" t="s">
        <v>117</v>
      </c>
      <c r="C65" s="29" t="s">
        <v>243</v>
      </c>
      <c r="D65" s="32">
        <v>0</v>
      </c>
      <c r="F65" s="24">
        <f>ROUND(SUMIF(Определители!I6:I17,"=9",'Базовые цены с учетом расхода'!B6:B17),2)</f>
        <v>0</v>
      </c>
      <c r="G65" s="24">
        <f>ROUND(SUMIF(Определители!I6:I17,"=9",'Базовые цены с учетом расхода'!C6:C17),2)</f>
        <v>0</v>
      </c>
      <c r="H65" s="24">
        <f>ROUND(SUMIF(Определители!I6:I17,"=9",'Базовые цены с учетом расхода'!D6:D17),2)</f>
        <v>0</v>
      </c>
      <c r="I65" s="24">
        <f>ROUND(SUMIF(Определители!I6:I17,"=9",'Базовые цены с учетом расхода'!E6:E17),2)</f>
        <v>0</v>
      </c>
      <c r="J65" s="28">
        <f>ROUND(SUMIF(Определители!I6:I17,"=9",'Базовые цены с учетом расхода'!I6:I17),8)</f>
        <v>0</v>
      </c>
      <c r="K65" s="28">
        <f>ROUND(SUMIF(Определители!I6:I17,"=9",'Базовые цены с учетом расхода'!K6:K17),8)</f>
        <v>0</v>
      </c>
      <c r="L65" s="24">
        <f>ROUND(SUMIF(Определители!I6:I17,"=9",'Базовые цены с учетом расхода'!F6:F17),2)</f>
        <v>0</v>
      </c>
      <c r="N65" s="29" t="s">
        <v>301</v>
      </c>
    </row>
    <row r="66" spans="1:14" ht="10.5">
      <c r="A66" s="25">
        <v>60</v>
      </c>
      <c r="B66" s="7" t="s">
        <v>115</v>
      </c>
      <c r="C66" s="29" t="s">
        <v>243</v>
      </c>
      <c r="D66" s="32">
        <v>0</v>
      </c>
      <c r="F66" s="24">
        <f>ROUND(SUMIF(Определители!I6:I17,"=9",'Базовые цены с учетом расхода'!N6:N17),2)</f>
        <v>0</v>
      </c>
      <c r="G66" s="24"/>
      <c r="H66" s="24"/>
      <c r="I66" s="24"/>
      <c r="J66" s="28"/>
      <c r="K66" s="28"/>
      <c r="L66" s="24"/>
      <c r="N66" s="29" t="s">
        <v>302</v>
      </c>
    </row>
    <row r="67" spans="1:14" ht="10.5">
      <c r="A67" s="25">
        <v>61</v>
      </c>
      <c r="B67" s="7" t="s">
        <v>97</v>
      </c>
      <c r="C67" s="29" t="s">
        <v>243</v>
      </c>
      <c r="D67" s="32">
        <v>0</v>
      </c>
      <c r="F67" s="24">
        <f>ROUND(SUMIF(Определители!I6:I17,"=9",'Базовые цены с учетом расхода'!O6:O17),2)</f>
        <v>0</v>
      </c>
      <c r="G67" s="24"/>
      <c r="H67" s="24"/>
      <c r="I67" s="24"/>
      <c r="J67" s="28"/>
      <c r="K67" s="28"/>
      <c r="L67" s="24"/>
      <c r="N67" s="29" t="s">
        <v>303</v>
      </c>
    </row>
    <row r="68" spans="1:14" ht="10.5">
      <c r="A68" s="25">
        <v>62</v>
      </c>
      <c r="B68" s="7" t="s">
        <v>118</v>
      </c>
      <c r="C68" s="29" t="s">
        <v>251</v>
      </c>
      <c r="D68" s="32">
        <v>0</v>
      </c>
      <c r="F68" s="24">
        <f>ROUND((F65+F66+F67),2)</f>
        <v>0</v>
      </c>
      <c r="G68" s="24"/>
      <c r="H68" s="24"/>
      <c r="I68" s="24"/>
      <c r="J68" s="28"/>
      <c r="K68" s="28"/>
      <c r="L68" s="24"/>
      <c r="N68" s="29" t="s">
        <v>304</v>
      </c>
    </row>
    <row r="69" spans="1:14" ht="10.5">
      <c r="A69" s="25">
        <v>63</v>
      </c>
      <c r="B69" s="7" t="s">
        <v>119</v>
      </c>
      <c r="C69" s="29" t="s">
        <v>243</v>
      </c>
      <c r="D69" s="32">
        <v>0</v>
      </c>
      <c r="F69" s="24">
        <f>ROUND(SUMIF(Определители!I6:I17,"=:",'Базовые цены с учетом расхода'!B6:B17),2)</f>
        <v>0</v>
      </c>
      <c r="G69" s="24">
        <f>ROUND(SUMIF(Определители!I6:I17,"=:",'Базовые цены с учетом расхода'!C6:C17),2)</f>
        <v>0</v>
      </c>
      <c r="H69" s="24">
        <f>ROUND(SUMIF(Определители!I6:I17,"=:",'Базовые цены с учетом расхода'!D6:D17),2)</f>
        <v>0</v>
      </c>
      <c r="I69" s="24">
        <f>ROUND(SUMIF(Определители!I6:I17,"=:",'Базовые цены с учетом расхода'!E6:E17),2)</f>
        <v>0</v>
      </c>
      <c r="J69" s="28">
        <f>ROUND(SUMIF(Определители!I6:I17,"=:",'Базовые цены с учетом расхода'!I6:I17),8)</f>
        <v>0</v>
      </c>
      <c r="K69" s="28">
        <f>ROUND(SUMIF(Определители!I6:I17,"=:",'Базовые цены с учетом расхода'!K6:K17),8)</f>
        <v>0</v>
      </c>
      <c r="L69" s="24">
        <f>ROUND(SUMIF(Определители!I6:I17,"=:",'Базовые цены с учетом расхода'!F6:F17),2)</f>
        <v>0</v>
      </c>
      <c r="N69" s="29" t="s">
        <v>305</v>
      </c>
    </row>
    <row r="70" spans="1:14" ht="10.5">
      <c r="A70" s="25">
        <v>64</v>
      </c>
      <c r="B70" s="7" t="s">
        <v>95</v>
      </c>
      <c r="C70" s="29" t="s">
        <v>243</v>
      </c>
      <c r="D70" s="32">
        <v>0</v>
      </c>
      <c r="F70" s="24">
        <f>ROUND(SUMIF(Определители!I6:I17,"=:",'Базовые цены с учетом расхода'!H6:H17),2)</f>
        <v>0</v>
      </c>
      <c r="G70" s="24"/>
      <c r="H70" s="24"/>
      <c r="I70" s="24"/>
      <c r="J70" s="28"/>
      <c r="K70" s="28"/>
      <c r="L70" s="24"/>
      <c r="N70" s="29" t="s">
        <v>306</v>
      </c>
    </row>
    <row r="71" spans="1:14" ht="10.5">
      <c r="A71" s="25">
        <v>65</v>
      </c>
      <c r="B71" s="7" t="s">
        <v>115</v>
      </c>
      <c r="C71" s="29" t="s">
        <v>243</v>
      </c>
      <c r="D71" s="32">
        <v>0</v>
      </c>
      <c r="F71" s="24">
        <f>ROUND(SUMIF(Определители!I6:I17,"=:",'Базовые цены с учетом расхода'!N6:N17),2)</f>
        <v>0</v>
      </c>
      <c r="G71" s="24"/>
      <c r="H71" s="24"/>
      <c r="I71" s="24"/>
      <c r="J71" s="28"/>
      <c r="K71" s="28"/>
      <c r="L71" s="24"/>
      <c r="N71" s="29" t="s">
        <v>307</v>
      </c>
    </row>
    <row r="72" spans="1:14" ht="10.5">
      <c r="A72" s="25">
        <v>66</v>
      </c>
      <c r="B72" s="7" t="s">
        <v>97</v>
      </c>
      <c r="C72" s="29" t="s">
        <v>243</v>
      </c>
      <c r="D72" s="32">
        <v>0</v>
      </c>
      <c r="F72" s="24">
        <f>ROUND(SUMIF(Определители!I6:I17,"=:",'Базовые цены с учетом расхода'!O6:O17),2)</f>
        <v>0</v>
      </c>
      <c r="G72" s="24"/>
      <c r="H72" s="24"/>
      <c r="I72" s="24"/>
      <c r="J72" s="28"/>
      <c r="K72" s="28"/>
      <c r="L72" s="24"/>
      <c r="N72" s="29" t="s">
        <v>308</v>
      </c>
    </row>
    <row r="73" spans="1:14" ht="10.5">
      <c r="A73" s="25">
        <v>67</v>
      </c>
      <c r="B73" s="7" t="s">
        <v>120</v>
      </c>
      <c r="C73" s="29" t="s">
        <v>251</v>
      </c>
      <c r="D73" s="32">
        <v>0</v>
      </c>
      <c r="F73" s="24">
        <f>ROUND((F69+F71+F72),2)</f>
        <v>0</v>
      </c>
      <c r="G73" s="24"/>
      <c r="H73" s="24"/>
      <c r="I73" s="24"/>
      <c r="J73" s="28"/>
      <c r="K73" s="28"/>
      <c r="L73" s="24"/>
      <c r="N73" s="29" t="s">
        <v>309</v>
      </c>
    </row>
    <row r="74" spans="1:14" ht="10.5">
      <c r="A74" s="25">
        <v>68</v>
      </c>
      <c r="B74" s="7" t="s">
        <v>121</v>
      </c>
      <c r="C74" s="29" t="s">
        <v>243</v>
      </c>
      <c r="D74" s="32">
        <v>0</v>
      </c>
      <c r="F74" s="24">
        <f>ROUND(SUMIF(Определители!I6:I17,"=8",'Базовые цены с учетом расхода'!B6:B17),2)</f>
        <v>0</v>
      </c>
      <c r="G74" s="24">
        <f>ROUND(SUMIF(Определители!I6:I17,"=8",'Базовые цены с учетом расхода'!C6:C17),2)</f>
        <v>0</v>
      </c>
      <c r="H74" s="24">
        <f>ROUND(SUMIF(Определители!I6:I17,"=8",'Базовые цены с учетом расхода'!D6:D17),2)</f>
        <v>0</v>
      </c>
      <c r="I74" s="24">
        <f>ROUND(SUMIF(Определители!I6:I17,"=8",'Базовые цены с учетом расхода'!E6:E17),2)</f>
        <v>0</v>
      </c>
      <c r="J74" s="28">
        <f>ROUND(SUMIF(Определители!I6:I17,"=8",'Базовые цены с учетом расхода'!I6:I17),8)</f>
        <v>0</v>
      </c>
      <c r="K74" s="28">
        <f>ROUND(SUMIF(Определители!I6:I17,"=8",'Базовые цены с учетом расхода'!K6:K17),8)</f>
        <v>0</v>
      </c>
      <c r="L74" s="24">
        <f>ROUND(SUMIF(Определители!I6:I17,"=8",'Базовые цены с учетом расхода'!F6:F17),2)</f>
        <v>0</v>
      </c>
      <c r="N74" s="29" t="s">
        <v>310</v>
      </c>
    </row>
    <row r="75" spans="1:14" ht="10.5">
      <c r="A75" s="25">
        <v>69</v>
      </c>
      <c r="B75" s="7" t="s">
        <v>95</v>
      </c>
      <c r="C75" s="29" t="s">
        <v>243</v>
      </c>
      <c r="D75" s="32">
        <v>0</v>
      </c>
      <c r="F75" s="24">
        <f>ROUND(SUMIF(Определители!I6:I17,"=8",'Базовые цены с учетом расхода'!H6:H17),2)</f>
        <v>0</v>
      </c>
      <c r="G75" s="24"/>
      <c r="H75" s="24"/>
      <c r="I75" s="24"/>
      <c r="J75" s="28"/>
      <c r="K75" s="28"/>
      <c r="L75" s="24"/>
      <c r="N75" s="29" t="s">
        <v>311</v>
      </c>
    </row>
    <row r="76" spans="1:14" ht="10.5">
      <c r="A76" s="25">
        <v>70</v>
      </c>
      <c r="B76" s="7" t="s">
        <v>122</v>
      </c>
      <c r="C76" s="29" t="s">
        <v>251</v>
      </c>
      <c r="D76" s="32">
        <v>0</v>
      </c>
      <c r="F76" s="24">
        <f>ROUND((F17+F27+F34+F39+F47+F52+F57+F64+F68+F73+F74),2)</f>
        <v>20300.55</v>
      </c>
      <c r="G76" s="24">
        <f>ROUND((G17+G27+G34+G39+G47+G52+G57+G64+G68+G73+G74),2)</f>
        <v>0</v>
      </c>
      <c r="H76" s="24">
        <f>ROUND((H17+H27+H34+H39+H47+H52+H57+H64+H68+H73+H74),2)</f>
        <v>0</v>
      </c>
      <c r="I76" s="24">
        <f>ROUND((I17+I27+I34+I39+I47+I52+I57+I64+I68+I73+I74),2)</f>
        <v>0</v>
      </c>
      <c r="J76" s="28">
        <f>ROUND((J17+J27+J34+J39+J47+J52+J57+J64+J68+J73+J74),8)</f>
        <v>0</v>
      </c>
      <c r="K76" s="28">
        <f>ROUND((K17+K27+K34+K39+K47+K52+K57+K64+K68+K73+K74),8)</f>
        <v>0</v>
      </c>
      <c r="L76" s="24">
        <f>ROUND((L17+L27+L34+L39+L47+L52+L57+L64+L68+L73+L74),2)</f>
        <v>0</v>
      </c>
      <c r="N76" s="29" t="s">
        <v>312</v>
      </c>
    </row>
    <row r="77" spans="1:14" ht="10.5">
      <c r="A77" s="25">
        <v>71</v>
      </c>
      <c r="B77" s="7" t="s">
        <v>123</v>
      </c>
      <c r="C77" s="29" t="s">
        <v>251</v>
      </c>
      <c r="D77" s="32">
        <v>0</v>
      </c>
      <c r="F77" s="24">
        <f>ROUND((F23+F31+F36+F43+F49+F54+F61+F70+F75),2)</f>
        <v>0</v>
      </c>
      <c r="G77" s="24"/>
      <c r="H77" s="24"/>
      <c r="I77" s="24"/>
      <c r="J77" s="28"/>
      <c r="K77" s="28"/>
      <c r="L77" s="24"/>
      <c r="N77" s="29" t="s">
        <v>313</v>
      </c>
    </row>
    <row r="78" spans="1:14" ht="10.5">
      <c r="A78" s="25">
        <v>72</v>
      </c>
      <c r="B78" s="7" t="s">
        <v>124</v>
      </c>
      <c r="C78" s="29" t="s">
        <v>251</v>
      </c>
      <c r="D78" s="32">
        <v>0</v>
      </c>
      <c r="F78" s="24">
        <f>ROUND((F24+F32+F37+F44+F50+F55+F62+F66+F71),2)</f>
        <v>1506.64</v>
      </c>
      <c r="G78" s="24"/>
      <c r="H78" s="24"/>
      <c r="I78" s="24"/>
      <c r="J78" s="28"/>
      <c r="K78" s="28"/>
      <c r="L78" s="24"/>
      <c r="N78" s="29" t="s">
        <v>314</v>
      </c>
    </row>
    <row r="79" spans="1:14" ht="10.5">
      <c r="A79" s="25">
        <v>73</v>
      </c>
      <c r="B79" s="7" t="s">
        <v>125</v>
      </c>
      <c r="C79" s="29" t="s">
        <v>251</v>
      </c>
      <c r="D79" s="32">
        <v>0</v>
      </c>
      <c r="F79" s="24">
        <f>ROUND((F25+F33+F38+F45+F51+F56+F63+F67+F72),2)</f>
        <v>860.64</v>
      </c>
      <c r="G79" s="24"/>
      <c r="H79" s="24"/>
      <c r="I79" s="24"/>
      <c r="J79" s="28"/>
      <c r="K79" s="28"/>
      <c r="L79" s="24"/>
      <c r="N79" s="29" t="s">
        <v>315</v>
      </c>
    </row>
    <row r="80" spans="1:14" ht="10.5">
      <c r="A80" s="25">
        <v>74</v>
      </c>
      <c r="B80" s="7" t="s">
        <v>126</v>
      </c>
      <c r="C80" s="29" t="s">
        <v>316</v>
      </c>
      <c r="D80" s="32">
        <v>0</v>
      </c>
      <c r="F80" s="24">
        <f>ROUND(SUM('Базовые цены с учетом расхода'!X6:X17),2)</f>
        <v>0</v>
      </c>
      <c r="G80" s="24"/>
      <c r="H80" s="24"/>
      <c r="I80" s="24"/>
      <c r="J80" s="28"/>
      <c r="K80" s="28"/>
      <c r="L80" s="24">
        <f>ROUND(SUM('Базовые цены с учетом расхода'!X6:X17),2)</f>
        <v>0</v>
      </c>
      <c r="N80" s="29" t="s">
        <v>317</v>
      </c>
    </row>
    <row r="81" spans="1:14" ht="10.5">
      <c r="A81" s="25">
        <v>75</v>
      </c>
      <c r="B81" s="7" t="s">
        <v>127</v>
      </c>
      <c r="C81" s="29" t="s">
        <v>316</v>
      </c>
      <c r="D81" s="32">
        <v>0</v>
      </c>
      <c r="F81" s="24">
        <f>ROUND(SUM('Базовые цены с учетом расхода'!C6:C17),2)</f>
        <v>793.13</v>
      </c>
      <c r="G81" s="24"/>
      <c r="H81" s="24"/>
      <c r="I81" s="24"/>
      <c r="J81" s="28"/>
      <c r="K81" s="28"/>
      <c r="L81" s="24"/>
      <c r="N81" s="29" t="s">
        <v>318</v>
      </c>
    </row>
    <row r="82" spans="1:14" ht="10.5">
      <c r="A82" s="25">
        <v>76</v>
      </c>
      <c r="B82" s="7" t="s">
        <v>128</v>
      </c>
      <c r="C82" s="29" t="s">
        <v>316</v>
      </c>
      <c r="D82" s="32">
        <v>0</v>
      </c>
      <c r="F82" s="24">
        <f>ROUND(SUM('Базовые цены с учетом расхода'!E6:E17),2)</f>
        <v>556.91</v>
      </c>
      <c r="G82" s="24"/>
      <c r="H82" s="24"/>
      <c r="I82" s="24"/>
      <c r="J82" s="28"/>
      <c r="K82" s="28"/>
      <c r="L82" s="24"/>
      <c r="N82" s="29" t="s">
        <v>319</v>
      </c>
    </row>
    <row r="83" spans="1:14" ht="10.5">
      <c r="A83" s="25">
        <v>77</v>
      </c>
      <c r="B83" s="7" t="s">
        <v>129</v>
      </c>
      <c r="C83" s="29" t="s">
        <v>320</v>
      </c>
      <c r="D83" s="32">
        <v>0</v>
      </c>
      <c r="F83" s="24">
        <f>ROUND((F81+F82),2)</f>
        <v>1350.04</v>
      </c>
      <c r="G83" s="24"/>
      <c r="H83" s="24"/>
      <c r="I83" s="24"/>
      <c r="J83" s="28"/>
      <c r="K83" s="28"/>
      <c r="L83" s="24"/>
      <c r="N83" s="29" t="s">
        <v>321</v>
      </c>
    </row>
    <row r="84" spans="1:14" ht="10.5">
      <c r="A84" s="25">
        <v>78</v>
      </c>
      <c r="B84" s="7" t="s">
        <v>130</v>
      </c>
      <c r="C84" s="29" t="s">
        <v>316</v>
      </c>
      <c r="D84" s="32">
        <v>0</v>
      </c>
      <c r="F84" s="24"/>
      <c r="G84" s="24"/>
      <c r="H84" s="24"/>
      <c r="I84" s="24"/>
      <c r="J84" s="28">
        <f>ROUND(SUM('Базовые цены с учетом расхода'!I6:I17),8)</f>
        <v>64.9240728</v>
      </c>
      <c r="K84" s="28"/>
      <c r="L84" s="24"/>
      <c r="N84" s="29" t="s">
        <v>322</v>
      </c>
    </row>
    <row r="85" spans="1:14" ht="10.5">
      <c r="A85" s="25">
        <v>79</v>
      </c>
      <c r="B85" s="7" t="s">
        <v>131</v>
      </c>
      <c r="C85" s="29" t="s">
        <v>316</v>
      </c>
      <c r="D85" s="32">
        <v>0</v>
      </c>
      <c r="F85" s="24"/>
      <c r="G85" s="24"/>
      <c r="H85" s="24"/>
      <c r="I85" s="24"/>
      <c r="J85" s="28">
        <f>ROUND(SUM('Базовые цены с учетом расхода'!K6:K17),8)</f>
        <v>40.674155</v>
      </c>
      <c r="K85" s="28"/>
      <c r="L85" s="24"/>
      <c r="N85" s="29" t="s">
        <v>323</v>
      </c>
    </row>
    <row r="86" spans="1:14" ht="10.5">
      <c r="A86" s="25">
        <v>80</v>
      </c>
      <c r="B86" s="7" t="s">
        <v>132</v>
      </c>
      <c r="C86" s="29" t="s">
        <v>320</v>
      </c>
      <c r="D86" s="32">
        <v>0</v>
      </c>
      <c r="F86" s="24"/>
      <c r="G86" s="24"/>
      <c r="H86" s="24"/>
      <c r="I86" s="24"/>
      <c r="J86" s="28">
        <f>ROUND((J84+J85),8)</f>
        <v>105.5982278</v>
      </c>
      <c r="K86" s="28"/>
      <c r="L86" s="24"/>
      <c r="N86" s="29" t="s">
        <v>324</v>
      </c>
    </row>
    <row r="87" spans="1:14" ht="10.5">
      <c r="A87" s="25">
        <v>81</v>
      </c>
      <c r="B87" s="7" t="s">
        <v>133</v>
      </c>
      <c r="C87" s="29" t="s">
        <v>325</v>
      </c>
      <c r="D87" s="32">
        <v>3.94</v>
      </c>
      <c r="F87" s="24">
        <f>ROUND((F76)*D87,2)</f>
        <v>79984.17</v>
      </c>
      <c r="G87" s="24"/>
      <c r="H87" s="24"/>
      <c r="I87" s="24"/>
      <c r="J87" s="28"/>
      <c r="K87" s="28"/>
      <c r="L87" s="24"/>
      <c r="N87" s="29" t="s">
        <v>326</v>
      </c>
    </row>
    <row r="88" spans="1:14" ht="10.5">
      <c r="A88" s="25">
        <v>82</v>
      </c>
      <c r="B88" s="7" t="s">
        <v>134</v>
      </c>
      <c r="C88" s="29" t="s">
        <v>327</v>
      </c>
      <c r="D88" s="32">
        <v>18</v>
      </c>
      <c r="F88" s="24">
        <f>ROUND((F87)*D88/100,2)</f>
        <v>14397.15</v>
      </c>
      <c r="G88" s="24"/>
      <c r="H88" s="24"/>
      <c r="I88" s="24"/>
      <c r="J88" s="28"/>
      <c r="K88" s="28"/>
      <c r="L88" s="24"/>
      <c r="N88" s="29" t="s">
        <v>328</v>
      </c>
    </row>
    <row r="89" spans="1:14" ht="10.5">
      <c r="A89" s="25">
        <v>83</v>
      </c>
      <c r="B89" s="7" t="s">
        <v>135</v>
      </c>
      <c r="C89" s="29" t="s">
        <v>320</v>
      </c>
      <c r="D89" s="32">
        <v>0</v>
      </c>
      <c r="F89" s="24">
        <f>ROUND((F87+F88),2)</f>
        <v>94381.32</v>
      </c>
      <c r="G89" s="24"/>
      <c r="H89" s="24"/>
      <c r="I89" s="24"/>
      <c r="J89" s="28"/>
      <c r="K89" s="28"/>
      <c r="L89" s="24"/>
      <c r="N89" s="29" t="s">
        <v>329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</cp:lastModifiedBy>
  <cp:lastPrinted>2009-07-22T08:32:44Z</cp:lastPrinted>
  <dcterms:created xsi:type="dcterms:W3CDTF">2009-06-19T04:36:47Z</dcterms:created>
  <dcterms:modified xsi:type="dcterms:W3CDTF">2011-01-22T12:10:51Z</dcterms:modified>
  <cp:category/>
  <cp:version/>
  <cp:contentType/>
  <cp:contentStatus/>
</cp:coreProperties>
</file>