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<sst xmlns="http://schemas.openxmlformats.org/spreadsheetml/2006/main" count="1351" uniqueCount="336">
  <si>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</si>
  <si>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</si>
  <si>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</si>
  <si>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</si>
  <si>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</si>
  <si>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</si>
  <si>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>ЛОКАЛЬНАЯ СМЕТА № 1</t>
  </si>
  <si>
    <t>на восстановление благоустройства и дополнительные работы по ремонту теплотрассы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</si>
  <si>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</si>
  <si>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</si>
  <si>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</si>
  <si>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</si>
  <si>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</si>
  <si>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</si>
  <si>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</si>
  <si>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</si>
  <si>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</si>
  <si>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</si>
  <si>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</si>
  <si>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</si>
  <si>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</si>
  <si>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</si>
  <si>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</si>
  <si>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</si>
  <si>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</si>
  <si>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</si>
  <si>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</si>
  <si>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</si>
  <si>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Раздел 1.  Благоустройство</t>
  </si>
  <si>
    <t>1.</t>
  </si>
  <si>
    <t>Е01-01-036-1
Планировка площадей бульдозерами мощностью: 59 (80) кВт (л.с.), 1000 м2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</si>
  <si>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</si>
  <si>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</si>
  <si>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</si>
  <si>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</si>
  <si>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</si>
  <si>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</si>
  <si>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</si>
  <si>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</si>
  <si>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</si>
  <si>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</si>
  <si>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</si>
  <si>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</si>
  <si>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</si>
  <si>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</si>
  <si>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</si>
  <si>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</si>
  <si>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</si>
  <si>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Е27-04-001-4
Устройство подстилающих и выравнивающих слоев оснований: из щебня, м3</t>
  </si>
  <si>
    <t>3.</t>
  </si>
  <si>
    <t>Е27-06-020-4А
Устройство покрытия толщиной 4 см из горячих асфальтобетонных смесей плотных крупнозернинистых типа А, Б, плотность каменных материалов: 3 т/м3 и более (типа А, марка I), 100 м2</t>
  </si>
  <si>
    <t>4.</t>
  </si>
  <si>
    <t>Е27-06-021-4А
При изменении толщины покрытия на 0,5 см добавлять или исключать: к расценке 27-06-020-4А, 1000 м2</t>
  </si>
  <si>
    <t>Объем: 50*4</t>
  </si>
  <si>
    <t>5.</t>
  </si>
  <si>
    <t>Е27-06-026-1
Розлив битума, т</t>
  </si>
  <si>
    <t>Объем: 50*0.003</t>
  </si>
  <si>
    <t>6.</t>
  </si>
  <si>
    <t>Х600-2029
Погрузочно-разгрузочные работы при автомобильных перевозках-Мусор строительный, т</t>
  </si>
  <si>
    <t>Объем: 17.5+4.29</t>
  </si>
  <si>
    <t>7.</t>
  </si>
  <si>
    <t>С601-9010
Перевозка грузов автомобилями-самосвалами (работающими вне карьеров) на расстояние до 10 км (1-й класс груза), т</t>
  </si>
  <si>
    <t>Объем: 10*1.75+0.3*14.3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</si>
  <si>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</si>
  <si>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</si>
  <si>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</si>
  <si>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</si>
  <si>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</si>
  <si>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</si>
  <si>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</si>
  <si>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</si>
  <si>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</si>
  <si>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</si>
  <si>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</si>
  <si>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</si>
  <si>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</si>
  <si>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</si>
  <si>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</si>
  <si>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</si>
  <si>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</si>
  <si>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</si>
  <si>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</si>
  <si>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</si>
  <si>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</si>
  <si>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</si>
  <si>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(%=95 - по стр. 1; %=142 - по стр. 2-5)</t>
  </si>
  <si>
    <t>.   СМЕТНАЯ ПРИБЫЛЬ - (%=43 - по стр. 1; %=81 - по стр. 2-5)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</si>
  <si>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</si>
  <si>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</si>
  <si>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</si>
  <si>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</si>
  <si>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</si>
  <si>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</si>
  <si>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</si>
  <si>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</si>
  <si>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</si>
  <si>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</si>
  <si>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</si>
  <si>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</si>
  <si>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</si>
  <si>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</si>
  <si>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</si>
  <si>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</si>
  <si>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</si>
  <si>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</si>
  <si>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</si>
  <si>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</si>
  <si>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</si>
  <si>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</si>
  <si>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</si>
  <si>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РАЗДЕЛУ 1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</si>
  <si>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</si>
  <si>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</si>
  <si>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</si>
  <si>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</si>
  <si>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</si>
  <si>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</si>
  <si>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</si>
  <si>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</si>
  <si>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</si>
  <si>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Раздел 2.  Ремонт теплотрассы</t>
  </si>
  <si>
    <t>8.</t>
  </si>
  <si>
    <t>Е01-02-068-1
Водоотлив из траншей, 100 м3</t>
  </si>
  <si>
    <t>9.</t>
  </si>
  <si>
    <t>Е66-12-7
Очистка непроходных каналов от мокрого ила и грязи при наличии труб, глубина очистки до 2 м, м3</t>
  </si>
  <si>
    <t>10.</t>
  </si>
  <si>
    <t>Е66-19-2
Демонтаж П-образных компенсаторов диаметром труб до 200 мм, шт.</t>
  </si>
  <si>
    <t>11.</t>
  </si>
  <si>
    <t>Е24-01-028-6
Установка П-образных компенсаторов диаметром труб: 150 мм, шт.</t>
  </si>
  <si>
    <t>.    ИТОГО  ПО  РАЗДЕЛУ 2</t>
  </si>
  <si>
    <t>.   НАКЛАДНЫЕ РАСХОДЫ - (%=80 - по стр. 8; %=74 - по стр. 9; %=108 - по стр. 10; %=130 - по стр. 11)</t>
  </si>
  <si>
    <t>.   СМЕТНАЯ ПРИБЫЛЬ - (%=38 - по стр. 8; %=50 - по стр. 9; %=68 - по стр. 10; %=76 - по стр. 11)</t>
  </si>
  <si>
    <t>. ВСЕГО  ПО  РАЗДЕЛУ 2</t>
  </si>
  <si>
    <t>ИТОГО ПО РАЗДЕЛУ 2 С КОЭФФ.УДОРОЖАНИЯ(I квартал 2011г.)</t>
  </si>
  <si>
    <t>.    ИТОГО  ПО  СМЕТЕ</t>
  </si>
  <si>
    <t>.   НАКЛАДНЫЕ РАСХОДЫ - (%=95 - по стр. 1; %=142 - по стр. 2-5; %=80 - по стр. 8; %=74 - по стр. 9; %=108 - по стр. 10; %=130 - по стр. 11)</t>
  </si>
  <si>
    <t>.   СМЕТНАЯ ПРИБЫЛЬ - (%=43 - по стр. 1; %=81 - по стр. 2-5; %=38 - по стр. 8; %=50 - по стр. 9; %=68 - по стр. 10; %=76 - по стр. 11)</t>
  </si>
  <si>
    <t>. ВСЕГО  ПО  СМЕТЕ</t>
  </si>
  <si>
    <t>ИТОГО ПО СМЕТЕ С КОЭФФ.УДОРОЖАНИЯ(I квартал 2011г.)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</si>
  <si>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</si>
  <si>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</si>
  <si>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</si>
  <si>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</si>
  <si>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</si>
  <si>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</si>
  <si>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</si>
  <si>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</si>
  <si>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</si>
  <si>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</si>
  <si>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</si>
  <si>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</si>
  <si>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</si>
  <si>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</si>
  <si>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</si>
  <si>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</si>
  <si>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</si>
  <si>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</si>
  <si>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</si>
  <si>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</si>
  <si>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</si>
  <si>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</si>
  <si>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</si>
  <si>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</si>
  <si>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</si>
  <si>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</si>
  <si>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</si>
  <si>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</si>
  <si>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</si>
  <si>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</si>
  <si>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1-19 * 1-19 * 1 &gt;</t>
  </si>
  <si>
    <t xml:space="preserve">          восстановление благоустройства и дополнительные работы по ремонту теплотрассы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</si>
  <si>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</si>
  <si>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</si>
  <si>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</si>
  <si>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</si>
  <si>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</si>
  <si>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</si>
  <si>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</si>
  <si>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</si>
  <si>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</si>
  <si>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</si>
  <si>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</si>
  <si>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</si>
  <si>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</si>
  <si>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</si>
  <si>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</si>
  <si>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</si>
  <si>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</si>
  <si>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</si>
  <si>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</si>
  <si>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</si>
  <si>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</si>
  <si>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</si>
  <si>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</si>
  <si>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</si>
  <si>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</si>
  <si>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</si>
  <si>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</si>
  <si>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</si>
  <si>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</si>
  <si>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</si>
  <si>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</si>
  <si>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</si>
  <si>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</si>
  <si>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</si>
  <si>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</si>
  <si>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</si>
  <si>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</si>
  <si>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</si>
  <si>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</si>
  <si>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</si>
  <si>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</si>
  <si>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</si>
  <si>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</si>
  <si>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</si>
  <si>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</si>
  <si>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</si>
  <si>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</si>
  <si>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</si>
  <si>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</si>
  <si>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</si>
  <si>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</si>
  <si>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</si>
  <si>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</si>
  <si>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</si>
  <si>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</si>
  <si>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</si>
  <si>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</si>
  <si>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</si>
  <si>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</si>
  <si>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</si>
  <si>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</si>
  <si>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</si>
  <si>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</si>
  <si>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</si>
  <si>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</si>
  <si>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</si>
  <si>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</si>
  <si>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</si>
  <si>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</si>
  <si>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</si>
  <si>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</si>
  <si>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</si>
  <si>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</si>
  <si>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</si>
  <si>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k</t>
  </si>
  <si>
    <t>%</t>
  </si>
  <si>
    <t>s</t>
  </si>
  <si>
    <t>h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</si>
  <si>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</si>
  <si>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</si>
  <si>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</si>
  <si>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</si>
  <si>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</si>
  <si>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</si>
  <si>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</si>
  <si>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</si>
  <si>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</si>
  <si>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</si>
  <si>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</si>
  <si>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</si>
  <si>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</si>
  <si>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</si>
  <si>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</si>
  <si>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</si>
  <si>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</si>
  <si>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</si>
  <si>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</si>
  <si>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</si>
  <si>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</si>
  <si>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</si>
  <si>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</si>
  <si>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</si>
  <si>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</si>
  <si>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</si>
  <si>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</si>
  <si>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</si>
  <si>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</si>
  <si>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</si>
  <si>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</si>
  <si>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</si>
  <si>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</si>
  <si>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</si>
  <si>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</si>
  <si>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</si>
  <si>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</si>
  <si>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</si>
  <si>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</si>
  <si>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</si>
  <si>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</si>
  <si>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</si>
  <si>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</si>
  <si>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</si>
  <si>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</si>
  <si>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</si>
  <si>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</si>
  <si>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</si>
  <si>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</si>
  <si>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</si>
  <si>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</si>
  <si>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</si>
  <si>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</si>
  <si>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</si>
  <si>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</si>
  <si>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</si>
  <si>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</si>
  <si>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</si>
  <si>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</si>
  <si>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</si>
  <si>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</si>
  <si>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</si>
  <si>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</si>
  <si>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</si>
  <si>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</si>
  <si>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</si>
  <si>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</si>
  <si>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</si>
  <si>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</si>
  <si>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</si>
  <si>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</si>
  <si>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</si>
  <si>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</si>
  <si>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</si>
  <si>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</si>
  <si>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</si>
  <si>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</si>
  <si>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</si>
  <si>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</si>
  <si>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</si>
  <si>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</si>
  <si>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</si>
  <si>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Глобальные начисления: Н3(ЭМ)= 1.15, Н4(ЗПМ)= 1.15, Н5(ОЗП)= 1.15</t>
  </si>
  <si>
    <t xml:space="preserve">   Начисления: Н3(ЭМ)= 1,15*1.25, Н4(ЗПМ)= 1,15*1.25</t>
  </si>
  <si>
    <t xml:space="preserve">   Начисления: Н3(ЭМ)= 1,15*1.25, Н4(ЗПМ)= 1,15*1.25, Н5(ОЗП)= 1,15*1.15</t>
  </si>
  <si>
    <t xml:space="preserve">   Начисления: Н3(ЭМ)= 1,15*1.25, Н5(ОЗП)= 1,15*1.15</t>
  </si>
  <si>
    <t>(должность, подпись, Ф.И.О)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</si>
</sst>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,##0;[Red]#,##0"/>
    <numFmt numFmtId="171" formatCode="#,##0.00;[Red]#,##0.0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4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166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  <xf numFmtId="49" fontId="0" fillId="0" borderId="0" xfId="0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171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10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03"/>
  <sheetViews>
    <sheetView tabSelected="1" workbookViewId="0" topLeftCell="A1">
      <selection activeCell="B408" sqref="B408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11.2812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0" t="s">
        <v>1</v>
      </c>
      <c r="B3" s="50"/>
      <c r="C3" s="50"/>
      <c r="D3" s="50"/>
      <c r="F3" s="50" t="s">
        <v>2</v>
      </c>
      <c r="G3" s="50"/>
      <c r="H3" s="50"/>
      <c r="I3" s="50"/>
    </row>
    <row r="4" spans="1:10" ht="10.5" customHeight="1">
      <c r="A4" s="69" t="s">
        <v>3</v>
      </c>
      <c r="B4" s="69"/>
      <c r="C4" s="72">
        <f>F389</f>
        <v>101211.88807</v>
      </c>
      <c r="D4" s="70" t="s">
        <v>4</v>
      </c>
      <c r="E4" s="71"/>
      <c r="F4" s="69" t="s">
        <v>3</v>
      </c>
      <c r="G4" s="69"/>
      <c r="H4" s="72">
        <f>F389</f>
        <v>101211.88807</v>
      </c>
      <c r="I4" s="70" t="s">
        <v>4</v>
      </c>
      <c r="J4" s="71"/>
    </row>
    <row r="5" spans="1:9" ht="10.5">
      <c r="A5" s="46"/>
      <c r="B5" s="46"/>
      <c r="C5" s="46"/>
      <c r="D5" s="46"/>
      <c r="F5" s="46"/>
      <c r="G5" s="46"/>
      <c r="H5" s="46"/>
      <c r="I5" s="46"/>
    </row>
    <row r="6" spans="1:9" ht="10.5">
      <c r="A6" s="46"/>
      <c r="B6" s="46"/>
      <c r="C6" s="46"/>
      <c r="D6" s="46"/>
      <c r="F6" s="46"/>
      <c r="G6" s="46"/>
      <c r="H6" s="46"/>
      <c r="I6" s="46"/>
    </row>
    <row r="7" spans="1:9" ht="10.5">
      <c r="A7" s="49" t="s">
        <v>5</v>
      </c>
      <c r="B7" s="49"/>
      <c r="C7" s="49"/>
      <c r="D7" s="49"/>
      <c r="F7" s="49" t="s">
        <v>5</v>
      </c>
      <c r="G7" s="49"/>
      <c r="H7" s="49"/>
      <c r="I7" s="49"/>
    </row>
    <row r="8" spans="1:9" ht="10.5">
      <c r="A8" s="46"/>
      <c r="B8" s="46"/>
      <c r="C8" s="46"/>
      <c r="D8" s="46"/>
      <c r="F8" s="46"/>
      <c r="G8" s="46"/>
      <c r="H8" s="46"/>
      <c r="I8" s="46"/>
    </row>
    <row r="9" spans="1:9" ht="10.5">
      <c r="A9" s="68" t="s">
        <v>330</v>
      </c>
      <c r="B9" s="49"/>
      <c r="C9" s="49"/>
      <c r="D9" s="49"/>
      <c r="F9" s="68" t="s">
        <v>330</v>
      </c>
      <c r="G9" s="49"/>
      <c r="H9" s="49"/>
      <c r="I9" s="49"/>
    </row>
    <row r="12" spans="1:10" ht="10.5">
      <c r="A12" s="59" t="s">
        <v>6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0.5">
      <c r="A13" s="60" t="s">
        <v>7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2:3" ht="10.5">
      <c r="B14" s="6" t="s">
        <v>8</v>
      </c>
      <c r="C14" s="7" t="s">
        <v>9</v>
      </c>
    </row>
    <row r="15" spans="7:10" ht="10.5">
      <c r="G15" s="6" t="s">
        <v>10</v>
      </c>
      <c r="H15" s="43" t="str">
        <f>TEXT((F383)/1000,"# ##0"&amp;GetSeparator()&amp;"000")</f>
        <v> 22,144</v>
      </c>
      <c r="I15" s="43"/>
      <c r="J15" s="9" t="s">
        <v>11</v>
      </c>
    </row>
    <row r="16" spans="7:10" ht="10.5">
      <c r="G16" s="6" t="s">
        <v>12</v>
      </c>
      <c r="H16" s="43" t="str">
        <f>TEXT((J396)/1000,"# ##0"&amp;GetSeparator()&amp;"000")</f>
        <v> 0,252</v>
      </c>
      <c r="I16" s="43"/>
      <c r="J16" s="9" t="s">
        <v>13</v>
      </c>
    </row>
    <row r="17" spans="7:10" ht="10.5">
      <c r="G17" s="6" t="s">
        <v>14</v>
      </c>
      <c r="H17" s="43" t="str">
        <f>TEXT((F393)/1000,"# ##0"&amp;GetSeparator()&amp;"000")</f>
        <v> 3,091</v>
      </c>
      <c r="I17" s="43"/>
      <c r="J17" s="9" t="s">
        <v>11</v>
      </c>
    </row>
    <row r="18" spans="1:10" ht="10.5">
      <c r="A18" s="52" t="s">
        <v>15</v>
      </c>
      <c r="B18" s="52"/>
      <c r="C18" s="52"/>
      <c r="D18" s="52"/>
      <c r="E18" s="52"/>
      <c r="F18" s="52"/>
      <c r="G18" s="52"/>
      <c r="H18" s="52"/>
      <c r="I18" s="52"/>
      <c r="J18" s="52"/>
    </row>
    <row r="19" ht="4.5" customHeight="1"/>
    <row r="20" spans="1:10" ht="43.5" customHeight="1">
      <c r="A20" s="53" t="s">
        <v>16</v>
      </c>
      <c r="B20" s="53" t="s">
        <v>17</v>
      </c>
      <c r="C20" s="53" t="s">
        <v>18</v>
      </c>
      <c r="D20" s="56" t="s">
        <v>19</v>
      </c>
      <c r="E20" s="57"/>
      <c r="F20" s="56" t="s">
        <v>20</v>
      </c>
      <c r="G20" s="58"/>
      <c r="H20" s="57"/>
      <c r="I20" s="56" t="s">
        <v>21</v>
      </c>
      <c r="J20" s="57"/>
    </row>
    <row r="21" spans="1:10" ht="21.75" customHeight="1">
      <c r="A21" s="54"/>
      <c r="B21" s="54"/>
      <c r="C21" s="54"/>
      <c r="D21" s="10" t="s">
        <v>22</v>
      </c>
      <c r="E21" s="10" t="s">
        <v>23</v>
      </c>
      <c r="F21" s="53" t="s">
        <v>22</v>
      </c>
      <c r="G21" s="53" t="s">
        <v>24</v>
      </c>
      <c r="H21" s="10" t="s">
        <v>23</v>
      </c>
      <c r="I21" s="56" t="s">
        <v>25</v>
      </c>
      <c r="J21" s="57"/>
    </row>
    <row r="22" spans="1:10" ht="43.5" customHeight="1">
      <c r="A22" s="55"/>
      <c r="B22" s="55"/>
      <c r="C22" s="55"/>
      <c r="D22" s="10" t="s">
        <v>24</v>
      </c>
      <c r="E22" s="10" t="s">
        <v>26</v>
      </c>
      <c r="F22" s="55"/>
      <c r="G22" s="55"/>
      <c r="H22" s="10" t="s">
        <v>26</v>
      </c>
      <c r="I22" s="10" t="s">
        <v>27</v>
      </c>
      <c r="J22" s="10" t="s">
        <v>22</v>
      </c>
    </row>
    <row r="23" spans="1:10" ht="10.5">
      <c r="A23" s="11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</row>
    <row r="24" ht="10.5">
      <c r="B24" s="9" t="s">
        <v>331</v>
      </c>
    </row>
    <row r="26" spans="2:10" ht="10.5">
      <c r="B26" s="51" t="s">
        <v>28</v>
      </c>
      <c r="C26" s="51"/>
      <c r="D26" s="51"/>
      <c r="E26" s="51"/>
      <c r="F26" s="51"/>
      <c r="G26" s="51"/>
      <c r="H26" s="51"/>
      <c r="I26" s="51"/>
      <c r="J26" s="51"/>
    </row>
    <row r="27" spans="2:10" ht="10.5">
      <c r="B27" s="51"/>
      <c r="C27" s="51"/>
      <c r="D27" s="51"/>
      <c r="E27" s="51"/>
      <c r="F27" s="51"/>
      <c r="G27" s="51"/>
      <c r="H27" s="51"/>
      <c r="I27" s="51"/>
      <c r="J27" s="51"/>
    </row>
    <row r="28" spans="1:14" ht="10.5">
      <c r="A28" s="49" t="s">
        <v>29</v>
      </c>
      <c r="B28" s="50" t="s">
        <v>30</v>
      </c>
      <c r="C28" s="46">
        <v>0.81</v>
      </c>
      <c r="D28" s="12">
        <f>'Базовые цены за единицу'!B9</f>
        <v>39.01</v>
      </c>
      <c r="E28" s="12">
        <v>39.01</v>
      </c>
      <c r="F28" s="48">
        <f>'Базовые цены с учетом расхода'!B9</f>
        <v>31.6</v>
      </c>
      <c r="G28" s="48">
        <f>'Базовые цены с учетом расхода'!C9</f>
        <v>0</v>
      </c>
      <c r="H28" s="12">
        <f>'Базовые цены с учетом расхода'!D9</f>
        <v>31.6</v>
      </c>
      <c r="I28" s="14"/>
      <c r="J28" s="14">
        <f>'Базовые цены с учетом расхода'!I9</f>
        <v>0</v>
      </c>
      <c r="K28" s="2" t="s">
        <v>31</v>
      </c>
      <c r="L28" s="2" t="s">
        <v>32</v>
      </c>
      <c r="N28" s="48">
        <f>'Базовые цены с учетом расхода'!F9</f>
        <v>0</v>
      </c>
    </row>
    <row r="29" spans="1:14" ht="33" customHeight="1">
      <c r="A29" s="46"/>
      <c r="B29" s="46"/>
      <c r="C29" s="46"/>
      <c r="D29" s="13"/>
      <c r="E29" s="13">
        <v>7.66</v>
      </c>
      <c r="F29" s="48"/>
      <c r="G29" s="48"/>
      <c r="H29" s="13">
        <f>'Базовые цены с учетом расхода'!E9</f>
        <v>6.2</v>
      </c>
      <c r="I29" s="2">
        <v>0.54625</v>
      </c>
      <c r="J29" s="2">
        <f>'Базовые цены с учетом расхода'!K9</f>
        <v>0.4424625</v>
      </c>
      <c r="K29" s="2" t="s">
        <v>33</v>
      </c>
      <c r="L29" s="2" t="s">
        <v>34</v>
      </c>
      <c r="N29" s="48"/>
    </row>
    <row r="30" spans="2:10" ht="10.5">
      <c r="B30" s="47" t="s">
        <v>332</v>
      </c>
      <c r="C30" s="47"/>
      <c r="D30" s="47"/>
      <c r="E30" s="47"/>
      <c r="F30" s="47"/>
      <c r="G30" s="47"/>
      <c r="H30" s="47"/>
      <c r="I30" s="47"/>
      <c r="J30" s="47"/>
    </row>
    <row r="31" spans="2:12" ht="10.5" hidden="1">
      <c r="B31" s="15" t="s">
        <v>35</v>
      </c>
      <c r="C31" s="1">
        <v>95</v>
      </c>
      <c r="F31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5.89</v>
      </c>
      <c r="L31" s="5" t="s">
        <v>36</v>
      </c>
    </row>
    <row r="32" spans="2:12" ht="10.5" hidden="1">
      <c r="B32" s="15" t="s">
        <v>37</v>
      </c>
      <c r="F32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5.89</v>
      </c>
      <c r="L32" s="5" t="s">
        <v>38</v>
      </c>
    </row>
    <row r="33" spans="2:12" ht="10.5" hidden="1">
      <c r="B33" s="15" t="s">
        <v>39</v>
      </c>
      <c r="F33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5.89</v>
      </c>
      <c r="L33" s="5" t="s">
        <v>40</v>
      </c>
    </row>
    <row r="34" spans="2:12" ht="10.5" hidden="1">
      <c r="B34" s="15" t="s">
        <v>41</v>
      </c>
      <c r="C34" s="1">
        <v>43</v>
      </c>
      <c r="F34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2.67</v>
      </c>
      <c r="L34" s="5" t="s">
        <v>42</v>
      </c>
    </row>
    <row r="35" spans="2:12" ht="10.5" hidden="1">
      <c r="B35" s="15" t="s">
        <v>43</v>
      </c>
      <c r="F35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2.67</v>
      </c>
      <c r="L35" s="5" t="s">
        <v>44</v>
      </c>
    </row>
    <row r="36" spans="2:12" ht="10.5" hidden="1">
      <c r="B36" s="15" t="s">
        <v>45</v>
      </c>
      <c r="F36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2.67</v>
      </c>
      <c r="L36" s="5" t="s">
        <v>46</v>
      </c>
    </row>
    <row r="37" spans="1:10" ht="10.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4" ht="10.5">
      <c r="A38" s="49" t="s">
        <v>47</v>
      </c>
      <c r="B38" s="50" t="s">
        <v>48</v>
      </c>
      <c r="C38" s="46">
        <v>10</v>
      </c>
      <c r="D38" s="12">
        <f>'Базовые цены за единицу'!B10</f>
        <v>209.48</v>
      </c>
      <c r="E38" s="12">
        <v>52.27</v>
      </c>
      <c r="F38" s="48">
        <f>'Базовые цены с учетом расхода'!B10</f>
        <v>2094.8</v>
      </c>
      <c r="G38" s="48">
        <f>'Базовые цены с учетом расхода'!C10</f>
        <v>32.7</v>
      </c>
      <c r="H38" s="12">
        <f>'Базовые цены с учетом расхода'!D10</f>
        <v>522.7</v>
      </c>
      <c r="I38" s="14">
        <v>0.3199127</v>
      </c>
      <c r="J38" s="14">
        <f>'Базовые цены с учетом расхода'!I10</f>
        <v>3.199127</v>
      </c>
      <c r="K38" s="2" t="s">
        <v>31</v>
      </c>
      <c r="L38" s="2" t="s">
        <v>32</v>
      </c>
      <c r="N38" s="48">
        <f>'Базовые цены с учетом расхода'!F10</f>
        <v>1539.4</v>
      </c>
    </row>
    <row r="39" spans="1:14" ht="33" customHeight="1">
      <c r="A39" s="46"/>
      <c r="B39" s="46"/>
      <c r="C39" s="46"/>
      <c r="D39" s="13">
        <v>3.27</v>
      </c>
      <c r="E39" s="13">
        <v>4.66</v>
      </c>
      <c r="F39" s="48"/>
      <c r="G39" s="48"/>
      <c r="H39" s="13">
        <f>'Базовые цены с учетом расхода'!E10</f>
        <v>46.6</v>
      </c>
      <c r="I39" s="2">
        <v>0.2961251</v>
      </c>
      <c r="J39" s="2">
        <f>'Базовые цены с учетом расхода'!K10</f>
        <v>2.961251</v>
      </c>
      <c r="K39" s="2" t="s">
        <v>33</v>
      </c>
      <c r="L39" s="2" t="s">
        <v>34</v>
      </c>
      <c r="N39" s="48"/>
    </row>
    <row r="40" spans="2:10" ht="10.5">
      <c r="B40" s="47" t="s">
        <v>333</v>
      </c>
      <c r="C40" s="47"/>
      <c r="D40" s="47"/>
      <c r="E40" s="47"/>
      <c r="F40" s="47"/>
      <c r="G40" s="47"/>
      <c r="H40" s="47"/>
      <c r="I40" s="47"/>
      <c r="J40" s="47"/>
    </row>
    <row r="41" spans="2:12" ht="10.5" hidden="1">
      <c r="B41" s="15" t="s">
        <v>35</v>
      </c>
      <c r="C41" s="1">
        <v>142</v>
      </c>
      <c r="F41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112.61</v>
      </c>
      <c r="L41" s="5" t="s">
        <v>36</v>
      </c>
    </row>
    <row r="42" spans="2:12" ht="10.5" hidden="1">
      <c r="B42" s="15" t="s">
        <v>37</v>
      </c>
      <c r="F42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112.61</v>
      </c>
      <c r="L42" s="5" t="s">
        <v>38</v>
      </c>
    </row>
    <row r="43" spans="2:12" ht="10.5" hidden="1">
      <c r="B43" s="15" t="s">
        <v>39</v>
      </c>
      <c r="F43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112.61</v>
      </c>
      <c r="L43" s="5" t="s">
        <v>40</v>
      </c>
    </row>
    <row r="44" spans="2:12" ht="10.5" hidden="1">
      <c r="B44" s="15" t="s">
        <v>41</v>
      </c>
      <c r="C44" s="1">
        <v>81</v>
      </c>
      <c r="F44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64.23</v>
      </c>
      <c r="L44" s="5" t="s">
        <v>42</v>
      </c>
    </row>
    <row r="45" spans="2:12" ht="10.5" hidden="1">
      <c r="B45" s="15" t="s">
        <v>43</v>
      </c>
      <c r="F45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64.23</v>
      </c>
      <c r="L45" s="5" t="s">
        <v>44</v>
      </c>
    </row>
    <row r="46" spans="2:12" ht="10.5" hidden="1">
      <c r="B46" s="15" t="s">
        <v>45</v>
      </c>
      <c r="F46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64.23</v>
      </c>
      <c r="L46" s="5" t="s">
        <v>46</v>
      </c>
    </row>
    <row r="47" spans="1:10" ht="10.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4" ht="10.5">
      <c r="A48" s="49" t="s">
        <v>49</v>
      </c>
      <c r="B48" s="50" t="s">
        <v>50</v>
      </c>
      <c r="C48" s="46">
        <v>0.5</v>
      </c>
      <c r="D48" s="12">
        <f>'Базовые цены за единицу'!B11</f>
        <v>6199.85</v>
      </c>
      <c r="E48" s="12">
        <v>360.4</v>
      </c>
      <c r="F48" s="48">
        <f>'Базовые цены с учетом расхода'!B11</f>
        <v>3099.93</v>
      </c>
      <c r="G48" s="48">
        <f>'Базовые цены с учетом расхода'!C11</f>
        <v>30.82</v>
      </c>
      <c r="H48" s="12">
        <f>'Базовые цены с учетом расхода'!D11</f>
        <v>180.2</v>
      </c>
      <c r="I48" s="14">
        <v>5.065175</v>
      </c>
      <c r="J48" s="14">
        <f>'Базовые цены с учетом расхода'!I11</f>
        <v>2.5325875</v>
      </c>
      <c r="K48" s="2" t="s">
        <v>31</v>
      </c>
      <c r="L48" s="2" t="s">
        <v>32</v>
      </c>
      <c r="N48" s="48">
        <f>'Базовые цены с учетом расхода'!F11</f>
        <v>2888.91</v>
      </c>
    </row>
    <row r="49" spans="1:14" ht="76.5" customHeight="1">
      <c r="A49" s="46"/>
      <c r="B49" s="46"/>
      <c r="C49" s="46"/>
      <c r="D49" s="13">
        <v>61.64</v>
      </c>
      <c r="E49" s="13">
        <v>43.36</v>
      </c>
      <c r="F49" s="48"/>
      <c r="G49" s="48"/>
      <c r="H49" s="13">
        <f>'Базовые цены с учетом расхода'!E11</f>
        <v>21.68</v>
      </c>
      <c r="I49" s="2">
        <v>2.74275</v>
      </c>
      <c r="J49" s="2">
        <f>'Базовые цены с учетом расхода'!K11</f>
        <v>1.371375</v>
      </c>
      <c r="K49" s="2" t="s">
        <v>33</v>
      </c>
      <c r="L49" s="2" t="s">
        <v>34</v>
      </c>
      <c r="N49" s="48"/>
    </row>
    <row r="50" spans="2:10" ht="10.5">
      <c r="B50" s="47" t="s">
        <v>333</v>
      </c>
      <c r="C50" s="47"/>
      <c r="D50" s="47"/>
      <c r="E50" s="47"/>
      <c r="F50" s="47"/>
      <c r="G50" s="47"/>
      <c r="H50" s="47"/>
      <c r="I50" s="47"/>
      <c r="J50" s="47"/>
    </row>
    <row r="51" spans="2:12" ht="10.5" hidden="1">
      <c r="B51" s="15" t="s">
        <v>35</v>
      </c>
      <c r="C51" s="1">
        <v>142</v>
      </c>
      <c r="F51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74.55</v>
      </c>
      <c r="L51" s="5" t="s">
        <v>36</v>
      </c>
    </row>
    <row r="52" spans="2:12" ht="10.5" hidden="1">
      <c r="B52" s="15" t="s">
        <v>37</v>
      </c>
      <c r="F52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74.55</v>
      </c>
      <c r="L52" s="5" t="s">
        <v>38</v>
      </c>
    </row>
    <row r="53" spans="2:12" ht="10.5" hidden="1">
      <c r="B53" s="15" t="s">
        <v>39</v>
      </c>
      <c r="F53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74.55</v>
      </c>
      <c r="L53" s="5" t="s">
        <v>40</v>
      </c>
    </row>
    <row r="54" spans="2:12" ht="10.5" hidden="1">
      <c r="B54" s="15" t="s">
        <v>41</v>
      </c>
      <c r="C54" s="1">
        <v>81</v>
      </c>
      <c r="F54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42.53</v>
      </c>
      <c r="L54" s="5" t="s">
        <v>42</v>
      </c>
    </row>
    <row r="55" spans="2:12" ht="10.5" hidden="1">
      <c r="B55" s="15" t="s">
        <v>43</v>
      </c>
      <c r="F55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42.53</v>
      </c>
      <c r="L55" s="5" t="s">
        <v>44</v>
      </c>
    </row>
    <row r="56" spans="2:12" ht="10.5" hidden="1">
      <c r="B56" s="15" t="s">
        <v>45</v>
      </c>
      <c r="F56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42.53</v>
      </c>
      <c r="L56" s="5" t="s">
        <v>46</v>
      </c>
    </row>
    <row r="57" spans="1:10" ht="10.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4" ht="10.5">
      <c r="A58" s="49" t="s">
        <v>51</v>
      </c>
      <c r="B58" s="50" t="s">
        <v>52</v>
      </c>
      <c r="C58" s="46">
        <v>0.2</v>
      </c>
      <c r="D58" s="12">
        <f>'Базовые цены за единицу'!B12</f>
        <v>7173.97</v>
      </c>
      <c r="E58" s="12">
        <v>4.87</v>
      </c>
      <c r="F58" s="48">
        <f>'Базовые цены с учетом расхода'!B12</f>
        <v>1434.79</v>
      </c>
      <c r="G58" s="48">
        <f>'Базовые цены с учетом расхода'!C12</f>
        <v>0.29</v>
      </c>
      <c r="H58" s="12">
        <f>'Базовые цены с учетом расхода'!D12</f>
        <v>0.97</v>
      </c>
      <c r="I58" s="14">
        <v>0.119025</v>
      </c>
      <c r="J58" s="14">
        <f>'Базовые цены с учетом расхода'!I12</f>
        <v>0.023805</v>
      </c>
      <c r="K58" s="2" t="s">
        <v>31</v>
      </c>
      <c r="L58" s="2" t="s">
        <v>32</v>
      </c>
      <c r="N58" s="48">
        <f>'Базовые цены с учетом расхода'!F12</f>
        <v>1433.53</v>
      </c>
    </row>
    <row r="59" spans="1:14" ht="43.5" customHeight="1">
      <c r="A59" s="46"/>
      <c r="B59" s="46"/>
      <c r="C59" s="46"/>
      <c r="D59" s="13">
        <v>1.45</v>
      </c>
      <c r="E59" s="13"/>
      <c r="F59" s="48"/>
      <c r="G59" s="48"/>
      <c r="H59" s="13">
        <f>'Базовые цены с учетом расхода'!E12</f>
        <v>0</v>
      </c>
      <c r="J59" s="2">
        <f>'Базовые цены с учетом расхода'!K12</f>
        <v>0</v>
      </c>
      <c r="K59" s="2" t="s">
        <v>33</v>
      </c>
      <c r="L59" s="2" t="s">
        <v>34</v>
      </c>
      <c r="N59" s="48"/>
    </row>
    <row r="60" ht="10.5">
      <c r="B60" s="18" t="s">
        <v>53</v>
      </c>
    </row>
    <row r="61" spans="2:10" ht="10.5">
      <c r="B61" s="47" t="s">
        <v>334</v>
      </c>
      <c r="C61" s="47"/>
      <c r="D61" s="47"/>
      <c r="E61" s="47"/>
      <c r="F61" s="47"/>
      <c r="G61" s="47"/>
      <c r="H61" s="47"/>
      <c r="I61" s="47"/>
      <c r="J61" s="47"/>
    </row>
    <row r="62" spans="2:12" ht="10.5" hidden="1">
      <c r="B62" s="15" t="s">
        <v>35</v>
      </c>
      <c r="C62" s="1">
        <v>142</v>
      </c>
      <c r="F62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0.41</v>
      </c>
      <c r="L62" s="5" t="s">
        <v>36</v>
      </c>
    </row>
    <row r="63" spans="2:12" ht="10.5" hidden="1">
      <c r="B63" s="15" t="s">
        <v>37</v>
      </c>
      <c r="F63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0.41</v>
      </c>
      <c r="L63" s="5" t="s">
        <v>38</v>
      </c>
    </row>
    <row r="64" spans="2:12" ht="10.5" hidden="1">
      <c r="B64" s="15" t="s">
        <v>39</v>
      </c>
      <c r="F64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0.41</v>
      </c>
      <c r="L64" s="5" t="s">
        <v>40</v>
      </c>
    </row>
    <row r="65" spans="2:12" ht="10.5" hidden="1">
      <c r="B65" s="15" t="s">
        <v>41</v>
      </c>
      <c r="C65" s="1">
        <v>81</v>
      </c>
      <c r="F65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0.23</v>
      </c>
      <c r="L65" s="5" t="s">
        <v>42</v>
      </c>
    </row>
    <row r="66" spans="2:12" ht="10.5" hidden="1">
      <c r="B66" s="15" t="s">
        <v>43</v>
      </c>
      <c r="F66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0.23</v>
      </c>
      <c r="L66" s="5" t="s">
        <v>44</v>
      </c>
    </row>
    <row r="67" spans="2:12" ht="10.5" hidden="1">
      <c r="B67" s="15" t="s">
        <v>45</v>
      </c>
      <c r="F67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0.23</v>
      </c>
      <c r="L67" s="5" t="s">
        <v>46</v>
      </c>
    </row>
    <row r="68" spans="1:10" ht="10.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4" ht="10.5">
      <c r="A69" s="49" t="s">
        <v>54</v>
      </c>
      <c r="B69" s="50" t="s">
        <v>55</v>
      </c>
      <c r="C69" s="46">
        <v>0.15</v>
      </c>
      <c r="D69" s="12">
        <f>'Базовые цены за единицу'!B13</f>
        <v>3385.78</v>
      </c>
      <c r="E69" s="12">
        <v>58.88</v>
      </c>
      <c r="F69" s="48">
        <f>'Базовые цены с учетом расхода'!B13</f>
        <v>507.87</v>
      </c>
      <c r="G69" s="48">
        <f>'Базовые цены с учетом расхода'!C13</f>
        <v>0</v>
      </c>
      <c r="H69" s="12">
        <f>'Базовые цены с учетом расхода'!D13</f>
        <v>8.83</v>
      </c>
      <c r="I69" s="14"/>
      <c r="J69" s="14">
        <f>'Базовые цены с учетом расхода'!I13</f>
        <v>0</v>
      </c>
      <c r="K69" s="2" t="s">
        <v>31</v>
      </c>
      <c r="L69" s="2" t="s">
        <v>32</v>
      </c>
      <c r="N69" s="48">
        <f>'Базовые цены с учетом расхода'!F13</f>
        <v>499.04</v>
      </c>
    </row>
    <row r="70" spans="1:14" ht="10.5">
      <c r="A70" s="46"/>
      <c r="B70" s="46"/>
      <c r="C70" s="46"/>
      <c r="D70" s="13"/>
      <c r="E70" s="13">
        <v>12.42</v>
      </c>
      <c r="F70" s="48"/>
      <c r="G70" s="48"/>
      <c r="H70" s="13">
        <f>'Базовые цены с учетом расхода'!E13</f>
        <v>1.86</v>
      </c>
      <c r="I70" s="2">
        <v>0.94875</v>
      </c>
      <c r="J70" s="2">
        <f>'Базовые цены с учетом расхода'!K13</f>
        <v>0.1423125</v>
      </c>
      <c r="K70" s="2" t="s">
        <v>33</v>
      </c>
      <c r="L70" s="2" t="s">
        <v>34</v>
      </c>
      <c r="N70" s="48"/>
    </row>
    <row r="71" ht="10.5">
      <c r="B71" s="18" t="s">
        <v>56</v>
      </c>
    </row>
    <row r="72" spans="2:10" ht="10.5">
      <c r="B72" s="47" t="s">
        <v>332</v>
      </c>
      <c r="C72" s="47"/>
      <c r="D72" s="47"/>
      <c r="E72" s="47"/>
      <c r="F72" s="47"/>
      <c r="G72" s="47"/>
      <c r="H72" s="47"/>
      <c r="I72" s="47"/>
      <c r="J72" s="47"/>
    </row>
    <row r="73" spans="2:12" ht="10.5" hidden="1">
      <c r="B73" s="15" t="s">
        <v>35</v>
      </c>
      <c r="C73" s="1">
        <v>142</v>
      </c>
      <c r="F73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2.64</v>
      </c>
      <c r="L73" s="5" t="s">
        <v>36</v>
      </c>
    </row>
    <row r="74" spans="2:12" ht="10.5" hidden="1">
      <c r="B74" s="15" t="s">
        <v>37</v>
      </c>
      <c r="F74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2.64</v>
      </c>
      <c r="L74" s="5" t="s">
        <v>38</v>
      </c>
    </row>
    <row r="75" spans="2:12" ht="10.5" hidden="1">
      <c r="B75" s="15" t="s">
        <v>39</v>
      </c>
      <c r="F75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2.64</v>
      </c>
      <c r="L75" s="5" t="s">
        <v>40</v>
      </c>
    </row>
    <row r="76" spans="2:12" ht="10.5" hidden="1">
      <c r="B76" s="15" t="s">
        <v>41</v>
      </c>
      <c r="C76" s="1">
        <v>81</v>
      </c>
      <c r="F76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1.51</v>
      </c>
      <c r="L76" s="5" t="s">
        <v>42</v>
      </c>
    </row>
    <row r="77" spans="2:12" ht="10.5" hidden="1">
      <c r="B77" s="15" t="s">
        <v>43</v>
      </c>
      <c r="F77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1.51</v>
      </c>
      <c r="L77" s="5" t="s">
        <v>44</v>
      </c>
    </row>
    <row r="78" spans="2:12" ht="10.5" hidden="1">
      <c r="B78" s="15" t="s">
        <v>45</v>
      </c>
      <c r="F78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1.51</v>
      </c>
      <c r="L78" s="5" t="s">
        <v>46</v>
      </c>
    </row>
    <row r="79" spans="1:10" ht="10.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4" ht="10.5">
      <c r="A80" s="49" t="s">
        <v>57</v>
      </c>
      <c r="B80" s="50" t="s">
        <v>58</v>
      </c>
      <c r="C80" s="46">
        <v>21.79</v>
      </c>
      <c r="D80" s="12">
        <f>'Базовые цены за единицу'!B14</f>
        <v>9.2</v>
      </c>
      <c r="E80" s="12">
        <v>9.2</v>
      </c>
      <c r="F80" s="48">
        <f>'Базовые цены с учетом расхода'!B14</f>
        <v>200.47</v>
      </c>
      <c r="G80" s="48">
        <f>'Базовые цены с учетом расхода'!C14</f>
        <v>0</v>
      </c>
      <c r="H80" s="12">
        <f>'Базовые цены с учетом расхода'!D14</f>
        <v>200.47</v>
      </c>
      <c r="I80" s="14"/>
      <c r="J80" s="14">
        <f>'Базовые цены с учетом расхода'!I14</f>
        <v>0</v>
      </c>
      <c r="K80" s="2" t="s">
        <v>31</v>
      </c>
      <c r="L80" s="2" t="s">
        <v>32</v>
      </c>
      <c r="N80" s="48">
        <f>'Базовые цены с учетом расхода'!F14</f>
        <v>0</v>
      </c>
    </row>
    <row r="81" spans="1:14" ht="43.5" customHeight="1">
      <c r="A81" s="46"/>
      <c r="B81" s="46"/>
      <c r="C81" s="46"/>
      <c r="D81" s="13"/>
      <c r="E81" s="13"/>
      <c r="F81" s="48"/>
      <c r="G81" s="48"/>
      <c r="H81" s="13">
        <f>'Базовые цены с учетом расхода'!E14</f>
        <v>0</v>
      </c>
      <c r="J81" s="2">
        <f>'Базовые цены с учетом расхода'!K14</f>
        <v>0</v>
      </c>
      <c r="K81" s="2" t="s">
        <v>33</v>
      </c>
      <c r="L81" s="2" t="s">
        <v>34</v>
      </c>
      <c r="N81" s="48"/>
    </row>
    <row r="82" ht="10.5">
      <c r="B82" s="18" t="s">
        <v>59</v>
      </c>
    </row>
    <row r="83" spans="2:12" ht="10.5" hidden="1">
      <c r="B83" s="15" t="s">
        <v>35</v>
      </c>
      <c r="C83" s="1">
        <v>0</v>
      </c>
      <c r="F83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83" s="5" t="s">
        <v>36</v>
      </c>
    </row>
    <row r="84" spans="2:12" ht="10.5" hidden="1">
      <c r="B84" s="15" t="s">
        <v>37</v>
      </c>
      <c r="F84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84" s="5" t="s">
        <v>38</v>
      </c>
    </row>
    <row r="85" spans="2:12" ht="10.5" hidden="1">
      <c r="B85" s="15" t="s">
        <v>39</v>
      </c>
      <c r="F85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85" s="5" t="s">
        <v>40</v>
      </c>
    </row>
    <row r="86" spans="2:12" ht="10.5" hidden="1">
      <c r="B86" s="15" t="s">
        <v>41</v>
      </c>
      <c r="C86" s="1">
        <v>0</v>
      </c>
      <c r="F86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86" s="5" t="s">
        <v>42</v>
      </c>
    </row>
    <row r="87" spans="2:12" ht="10.5" hidden="1">
      <c r="B87" s="15" t="s">
        <v>43</v>
      </c>
      <c r="F87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87" s="5" t="s">
        <v>44</v>
      </c>
    </row>
    <row r="88" spans="2:12" ht="10.5" hidden="1">
      <c r="B88" s="15" t="s">
        <v>45</v>
      </c>
      <c r="F88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88" s="5" t="s">
        <v>46</v>
      </c>
    </row>
    <row r="89" spans="1:10" ht="10.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4" ht="10.5">
      <c r="A90" s="49" t="s">
        <v>60</v>
      </c>
      <c r="B90" s="50" t="s">
        <v>61</v>
      </c>
      <c r="C90" s="46">
        <v>21.79</v>
      </c>
      <c r="D90" s="12">
        <f>'Базовые цены за единицу'!B15</f>
        <v>17.99</v>
      </c>
      <c r="E90" s="12"/>
      <c r="F90" s="48">
        <f>'Базовые цены с учетом расхода'!B15</f>
        <v>392</v>
      </c>
      <c r="G90" s="48">
        <f>'Базовые цены с учетом расхода'!C15</f>
        <v>0</v>
      </c>
      <c r="H90" s="12">
        <f>'Базовые цены с учетом расхода'!D15</f>
        <v>0</v>
      </c>
      <c r="I90" s="14"/>
      <c r="J90" s="14">
        <f>'Базовые цены с учетом расхода'!I15</f>
        <v>0</v>
      </c>
      <c r="K90" s="2" t="s">
        <v>31</v>
      </c>
      <c r="L90" s="2" t="s">
        <v>32</v>
      </c>
      <c r="N90" s="48">
        <f>'Базовые цены с учетом расхода'!F15</f>
        <v>392</v>
      </c>
    </row>
    <row r="91" spans="1:14" ht="54.75" customHeight="1">
      <c r="A91" s="46"/>
      <c r="B91" s="46"/>
      <c r="C91" s="46"/>
      <c r="D91" s="13"/>
      <c r="E91" s="13"/>
      <c r="F91" s="48"/>
      <c r="G91" s="48"/>
      <c r="H91" s="13">
        <f>'Базовые цены с учетом расхода'!E15</f>
        <v>0</v>
      </c>
      <c r="J91" s="2">
        <f>'Базовые цены с учетом расхода'!K15</f>
        <v>0</v>
      </c>
      <c r="K91" s="2" t="s">
        <v>33</v>
      </c>
      <c r="L91" s="2" t="s">
        <v>34</v>
      </c>
      <c r="N91" s="48"/>
    </row>
    <row r="92" ht="10.5">
      <c r="B92" s="18" t="s">
        <v>62</v>
      </c>
    </row>
    <row r="93" spans="2:12" ht="10.5" hidden="1">
      <c r="B93" s="15" t="s">
        <v>35</v>
      </c>
      <c r="C93" s="1">
        <v>0</v>
      </c>
      <c r="F93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93" s="5" t="s">
        <v>36</v>
      </c>
    </row>
    <row r="94" spans="2:12" ht="10.5" hidden="1">
      <c r="B94" s="15" t="s">
        <v>37</v>
      </c>
      <c r="F94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94" s="5" t="s">
        <v>38</v>
      </c>
    </row>
    <row r="95" spans="2:12" ht="10.5" hidden="1">
      <c r="B95" s="15" t="s">
        <v>39</v>
      </c>
      <c r="F95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95" s="5" t="s">
        <v>40</v>
      </c>
    </row>
    <row r="96" spans="2:12" ht="10.5" hidden="1">
      <c r="B96" s="15" t="s">
        <v>41</v>
      </c>
      <c r="C96" s="1">
        <v>0</v>
      </c>
      <c r="F96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96" s="5" t="s">
        <v>42</v>
      </c>
    </row>
    <row r="97" spans="2:12" ht="10.5" hidden="1">
      <c r="B97" s="15" t="s">
        <v>43</v>
      </c>
      <c r="F97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97" s="5" t="s">
        <v>44</v>
      </c>
    </row>
    <row r="98" spans="2:12" ht="10.5" hidden="1">
      <c r="B98" s="15" t="s">
        <v>45</v>
      </c>
      <c r="F98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98" s="5" t="s">
        <v>46</v>
      </c>
    </row>
    <row r="99" spans="1:10" ht="10.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2:18" ht="10.5">
      <c r="B100" s="9" t="s">
        <v>63</v>
      </c>
      <c r="E100" s="45"/>
      <c r="F100" s="44">
        <f>'Базовые концовки'!F10</f>
        <v>7761.46</v>
      </c>
      <c r="G100" s="44">
        <f>'Базовые концовки'!G10</f>
        <v>63.81</v>
      </c>
      <c r="H100" s="21">
        <f>'Базовые концовки'!H10</f>
        <v>944.77</v>
      </c>
      <c r="I100" s="46"/>
      <c r="J100" s="22">
        <f>'Базовые концовки'!J10</f>
        <v>5.7555195</v>
      </c>
      <c r="N100" s="44">
        <f>'Базовые концовки'!L10</f>
        <v>6752.88</v>
      </c>
      <c r="R100" s="44">
        <f>'Базовые концовки'!M10</f>
        <v>0</v>
      </c>
    </row>
    <row r="101" spans="5:18" ht="10.5">
      <c r="E101" s="45"/>
      <c r="F101" s="44"/>
      <c r="G101" s="44"/>
      <c r="H101" s="20">
        <f>'Базовые концовки'!I10</f>
        <v>76.34</v>
      </c>
      <c r="I101" s="46"/>
      <c r="J101" s="8">
        <f>'Базовые концовки'!K10</f>
        <v>4.917401</v>
      </c>
      <c r="N101" s="44"/>
      <c r="R101" s="44"/>
    </row>
    <row r="102" spans="2:18" ht="10.5" hidden="1">
      <c r="B102" s="9" t="s">
        <v>64</v>
      </c>
      <c r="E102" s="19"/>
      <c r="F102" s="20">
        <f>'Базовые концовки'!F11</f>
        <v>0</v>
      </c>
      <c r="G102" s="20">
        <f>'Базовые концовки'!G11</f>
        <v>0</v>
      </c>
      <c r="H102" s="20">
        <f>'Базовые концовки'!H11</f>
        <v>0</v>
      </c>
      <c r="J102" s="8">
        <f>'Базовые концовки'!J11</f>
        <v>0</v>
      </c>
      <c r="N102" s="20">
        <f>'Базовые концовки'!L11</f>
        <v>0</v>
      </c>
      <c r="R102" s="20">
        <f>'Базовые концовки'!M11</f>
        <v>0</v>
      </c>
    </row>
    <row r="103" spans="2:18" ht="10.5" hidden="1">
      <c r="B103" s="9" t="s">
        <v>65</v>
      </c>
      <c r="E103" s="19"/>
      <c r="F103" s="20">
        <f>'Базовые концовки'!F12</f>
        <v>0</v>
      </c>
      <c r="G103" s="20"/>
      <c r="H103" s="20"/>
      <c r="J103" s="8"/>
      <c r="N103" s="20"/>
      <c r="R103" s="20"/>
    </row>
    <row r="104" spans="2:18" ht="10.5" hidden="1">
      <c r="B104" s="9" t="s">
        <v>66</v>
      </c>
      <c r="E104" s="19"/>
      <c r="F104" s="20">
        <f>'Базовые концовки'!F13</f>
        <v>0</v>
      </c>
      <c r="G104" s="20"/>
      <c r="H104" s="20"/>
      <c r="J104" s="8"/>
      <c r="N104" s="20"/>
      <c r="R104" s="20"/>
    </row>
    <row r="105" spans="2:18" ht="10.5" hidden="1">
      <c r="B105" s="9" t="s">
        <v>67</v>
      </c>
      <c r="E105" s="19"/>
      <c r="F105" s="20">
        <f>'Базовые концовки'!F14</f>
        <v>0</v>
      </c>
      <c r="G105" s="20"/>
      <c r="H105" s="20"/>
      <c r="J105" s="8"/>
      <c r="N105" s="20"/>
      <c r="R105" s="20"/>
    </row>
    <row r="106" spans="2:18" ht="10.5" hidden="1">
      <c r="B106" s="9" t="s">
        <v>68</v>
      </c>
      <c r="E106" s="19"/>
      <c r="F106" s="20">
        <f>'Базовые концовки'!F15</f>
        <v>0</v>
      </c>
      <c r="G106" s="20"/>
      <c r="H106" s="20"/>
      <c r="J106" s="8"/>
      <c r="N106" s="20"/>
      <c r="R106" s="20"/>
    </row>
    <row r="107" spans="2:18" ht="10.5" hidden="1">
      <c r="B107" s="9" t="s">
        <v>69</v>
      </c>
      <c r="E107" s="19"/>
      <c r="F107" s="20">
        <f>'Базовые концовки'!F16</f>
        <v>0</v>
      </c>
      <c r="G107" s="20"/>
      <c r="H107" s="20"/>
      <c r="J107" s="8"/>
      <c r="N107" s="20"/>
      <c r="R107" s="20"/>
    </row>
    <row r="108" spans="2:18" ht="10.5" hidden="1">
      <c r="B108" s="9" t="s">
        <v>70</v>
      </c>
      <c r="E108" s="19"/>
      <c r="F108" s="20">
        <f>'Базовые концовки'!F17</f>
        <v>0</v>
      </c>
      <c r="G108" s="20"/>
      <c r="H108" s="20"/>
      <c r="J108" s="8"/>
      <c r="N108" s="20"/>
      <c r="R108" s="20"/>
    </row>
    <row r="109" spans="2:18" ht="10.5" hidden="1">
      <c r="B109" s="9" t="s">
        <v>71</v>
      </c>
      <c r="E109" s="19"/>
      <c r="F109" s="20">
        <f>'Базовые концовки'!F18</f>
        <v>0</v>
      </c>
      <c r="G109" s="20"/>
      <c r="H109" s="20"/>
      <c r="J109" s="8"/>
      <c r="N109" s="20"/>
      <c r="R109" s="20"/>
    </row>
    <row r="110" spans="2:18" ht="10.5" hidden="1">
      <c r="B110" s="9" t="s">
        <v>72</v>
      </c>
      <c r="E110" s="19"/>
      <c r="F110" s="20">
        <f>'Базовые концовки'!F19</f>
        <v>0</v>
      </c>
      <c r="G110" s="20"/>
      <c r="H110" s="20"/>
      <c r="J110" s="8"/>
      <c r="N110" s="20"/>
      <c r="R110" s="20"/>
    </row>
    <row r="111" spans="2:18" ht="10.5" hidden="1">
      <c r="B111" s="9" t="s">
        <v>73</v>
      </c>
      <c r="E111" s="19"/>
      <c r="F111" s="20">
        <f>'Базовые концовки'!F20</f>
        <v>0</v>
      </c>
      <c r="G111" s="20"/>
      <c r="H111" s="20"/>
      <c r="J111" s="8"/>
      <c r="N111" s="20"/>
      <c r="R111" s="20"/>
    </row>
    <row r="112" spans="2:18" ht="10.5" hidden="1">
      <c r="B112" s="9" t="s">
        <v>74</v>
      </c>
      <c r="E112" s="19"/>
      <c r="F112" s="20">
        <f>'Базовые концовки'!F21</f>
        <v>0</v>
      </c>
      <c r="G112" s="20">
        <f>'Базовые концовки'!G21</f>
        <v>0</v>
      </c>
      <c r="H112" s="20">
        <f>'Базовые концовки'!H21</f>
        <v>0</v>
      </c>
      <c r="J112" s="8">
        <f>'Базовые концовки'!J21</f>
        <v>0</v>
      </c>
      <c r="N112" s="20">
        <f>'Базовые концовки'!L21</f>
        <v>0</v>
      </c>
      <c r="R112" s="20">
        <f>'Базовые концовки'!M21</f>
        <v>0</v>
      </c>
    </row>
    <row r="113" spans="2:18" ht="10.5" hidden="1">
      <c r="B113" s="9" t="s">
        <v>75</v>
      </c>
      <c r="E113" s="19"/>
      <c r="F113" s="20"/>
      <c r="G113" s="20"/>
      <c r="H113" s="20"/>
      <c r="J113" s="8"/>
      <c r="N113" s="20"/>
      <c r="R113" s="20"/>
    </row>
    <row r="114" spans="2:18" ht="10.5" hidden="1">
      <c r="B114" s="9" t="s">
        <v>76</v>
      </c>
      <c r="E114" s="19"/>
      <c r="F114" s="20"/>
      <c r="G114" s="20">
        <f>'Базовые концовки'!G23</f>
        <v>0</v>
      </c>
      <c r="H114" s="20"/>
      <c r="J114" s="8"/>
      <c r="N114" s="20"/>
      <c r="R114" s="20"/>
    </row>
    <row r="115" spans="2:18" ht="10.5" hidden="1">
      <c r="B115" s="9" t="s">
        <v>77</v>
      </c>
      <c r="E115" s="19"/>
      <c r="F115" s="20">
        <f>'Базовые концовки'!F24</f>
        <v>0</v>
      </c>
      <c r="G115" s="20"/>
      <c r="H115" s="20"/>
      <c r="J115" s="8"/>
      <c r="N115" s="20"/>
      <c r="R115" s="20"/>
    </row>
    <row r="116" spans="2:18" ht="10.5" hidden="1">
      <c r="B116" s="9" t="s">
        <v>78</v>
      </c>
      <c r="E116" s="19"/>
      <c r="F116" s="20">
        <f>'Базовые концовки'!F25</f>
        <v>0</v>
      </c>
      <c r="G116" s="20"/>
      <c r="H116" s="20"/>
      <c r="J116" s="8"/>
      <c r="N116" s="20"/>
      <c r="R116" s="20"/>
    </row>
    <row r="117" spans="2:18" ht="10.5" hidden="1">
      <c r="B117" s="9" t="s">
        <v>79</v>
      </c>
      <c r="E117" s="19"/>
      <c r="F117" s="20">
        <f>'Базовые концовки'!F26</f>
        <v>0</v>
      </c>
      <c r="G117" s="20"/>
      <c r="H117" s="20"/>
      <c r="J117" s="8"/>
      <c r="N117" s="20"/>
      <c r="R117" s="20"/>
    </row>
    <row r="118" spans="2:18" ht="10.5" hidden="1">
      <c r="B118" s="9" t="s">
        <v>80</v>
      </c>
      <c r="E118" s="19"/>
      <c r="F118" s="20">
        <f>'Базовые концовки'!F27</f>
        <v>0</v>
      </c>
      <c r="G118" s="20"/>
      <c r="H118" s="20"/>
      <c r="J118" s="8"/>
      <c r="N118" s="20"/>
      <c r="R118" s="20"/>
    </row>
    <row r="119" spans="2:18" ht="10.5" hidden="1">
      <c r="B119" s="9" t="s">
        <v>81</v>
      </c>
      <c r="E119" s="19"/>
      <c r="F119" s="20">
        <f>'Базовые концовки'!F28</f>
        <v>0</v>
      </c>
      <c r="G119" s="20"/>
      <c r="H119" s="20"/>
      <c r="J119" s="8"/>
      <c r="N119" s="20"/>
      <c r="R119" s="20"/>
    </row>
    <row r="120" spans="2:18" ht="10.5" hidden="1">
      <c r="B120" s="9" t="s">
        <v>72</v>
      </c>
      <c r="E120" s="19"/>
      <c r="F120" s="20">
        <f>'Базовые концовки'!F29</f>
        <v>0</v>
      </c>
      <c r="G120" s="20"/>
      <c r="H120" s="20"/>
      <c r="J120" s="8"/>
      <c r="N120" s="20"/>
      <c r="R120" s="20"/>
    </row>
    <row r="121" spans="2:18" ht="10.5" hidden="1">
      <c r="B121" s="9" t="s">
        <v>82</v>
      </c>
      <c r="E121" s="19"/>
      <c r="F121" s="20">
        <f>'Базовые концовки'!F30</f>
        <v>0</v>
      </c>
      <c r="G121" s="20"/>
      <c r="H121" s="20"/>
      <c r="J121" s="8"/>
      <c r="N121" s="20"/>
      <c r="R121" s="20"/>
    </row>
    <row r="122" spans="2:18" ht="10.5">
      <c r="B122" s="9" t="s">
        <v>83</v>
      </c>
      <c r="E122" s="45"/>
      <c r="F122" s="44">
        <f>'Базовые концовки'!F31</f>
        <v>7761.46</v>
      </c>
      <c r="G122" s="44">
        <f>'Базовые концовки'!G31</f>
        <v>63.81</v>
      </c>
      <c r="H122" s="21">
        <f>'Базовые концовки'!H31</f>
        <v>944.77</v>
      </c>
      <c r="I122" s="46"/>
      <c r="J122" s="22">
        <f>'Базовые концовки'!J31</f>
        <v>5.7555195</v>
      </c>
      <c r="N122" s="44">
        <f>'Базовые концовки'!L31</f>
        <v>6752.88</v>
      </c>
      <c r="R122" s="44">
        <f>'Базовые концовки'!M31</f>
        <v>0</v>
      </c>
    </row>
    <row r="123" spans="5:18" ht="10.5">
      <c r="E123" s="45"/>
      <c r="F123" s="44"/>
      <c r="G123" s="44"/>
      <c r="H123" s="20">
        <f>'Базовые концовки'!I31</f>
        <v>76.34</v>
      </c>
      <c r="I123" s="46"/>
      <c r="J123" s="8">
        <f>'Базовые концовки'!K31</f>
        <v>4.917401</v>
      </c>
      <c r="N123" s="44"/>
      <c r="R123" s="44"/>
    </row>
    <row r="124" spans="2:18" ht="10.5" hidden="1">
      <c r="B124" s="9" t="s">
        <v>75</v>
      </c>
      <c r="E124" s="19"/>
      <c r="F124" s="20"/>
      <c r="G124" s="20"/>
      <c r="H124" s="20"/>
      <c r="J124" s="8"/>
      <c r="N124" s="20"/>
      <c r="R124" s="20"/>
    </row>
    <row r="125" spans="2:18" ht="10.5">
      <c r="B125" s="9" t="s">
        <v>84</v>
      </c>
      <c r="E125" s="19"/>
      <c r="F125" s="20">
        <f>'Базовые концовки'!F33</f>
        <v>392</v>
      </c>
      <c r="G125" s="20"/>
      <c r="H125" s="20"/>
      <c r="J125" s="8"/>
      <c r="N125" s="20"/>
      <c r="R125" s="20"/>
    </row>
    <row r="126" spans="2:18" ht="10.5" hidden="1">
      <c r="B126" s="9" t="s">
        <v>79</v>
      </c>
      <c r="E126" s="19"/>
      <c r="F126" s="20">
        <f>'Базовые концовки'!F34</f>
        <v>0</v>
      </c>
      <c r="G126" s="20"/>
      <c r="H126" s="20"/>
      <c r="J126" s="8"/>
      <c r="N126" s="20"/>
      <c r="R126" s="20"/>
    </row>
    <row r="127" spans="2:18" ht="10.5">
      <c r="B127" s="9" t="s">
        <v>85</v>
      </c>
      <c r="E127" s="19"/>
      <c r="F127" s="20">
        <f>'Базовые концовки'!F35</f>
        <v>196.1</v>
      </c>
      <c r="G127" s="20"/>
      <c r="H127" s="20"/>
      <c r="J127" s="8"/>
      <c r="N127" s="20"/>
      <c r="R127" s="20"/>
    </row>
    <row r="128" spans="2:18" ht="10.5">
      <c r="B128" s="9" t="s">
        <v>86</v>
      </c>
      <c r="E128" s="19"/>
      <c r="F128" s="20">
        <f>'Базовые концовки'!F36</f>
        <v>111.17</v>
      </c>
      <c r="G128" s="20"/>
      <c r="H128" s="20"/>
      <c r="J128" s="8"/>
      <c r="N128" s="20"/>
      <c r="R128" s="20"/>
    </row>
    <row r="129" spans="2:18" ht="10.5">
      <c r="B129" s="9" t="s">
        <v>87</v>
      </c>
      <c r="E129" s="19"/>
      <c r="F129" s="20">
        <f>'Базовые концовки'!F37</f>
        <v>8068.73</v>
      </c>
      <c r="G129" s="20"/>
      <c r="H129" s="20"/>
      <c r="J129" s="8"/>
      <c r="N129" s="20"/>
      <c r="R129" s="20"/>
    </row>
    <row r="130" spans="2:18" ht="10.5" hidden="1">
      <c r="B130" s="9" t="s">
        <v>88</v>
      </c>
      <c r="E130" s="19"/>
      <c r="F130" s="20">
        <f>'Базовые концовки'!F38</f>
        <v>0</v>
      </c>
      <c r="G130" s="20">
        <f>'Базовые концовки'!G38</f>
        <v>0</v>
      </c>
      <c r="H130" s="20">
        <f>'Базовые концовки'!H38</f>
        <v>0</v>
      </c>
      <c r="J130" s="8">
        <f>'Базовые концовки'!J38</f>
        <v>0</v>
      </c>
      <c r="N130" s="20">
        <f>'Базовые концовки'!L38</f>
        <v>0</v>
      </c>
      <c r="R130" s="20">
        <f>'Базовые концовки'!M38</f>
        <v>0</v>
      </c>
    </row>
    <row r="131" spans="2:18" ht="10.5" hidden="1">
      <c r="B131" s="9" t="s">
        <v>79</v>
      </c>
      <c r="E131" s="19"/>
      <c r="F131" s="20">
        <f>'Базовые концовки'!F39</f>
        <v>0</v>
      </c>
      <c r="G131" s="20"/>
      <c r="H131" s="20"/>
      <c r="J131" s="8"/>
      <c r="N131" s="20"/>
      <c r="R131" s="20"/>
    </row>
    <row r="132" spans="2:18" ht="10.5" hidden="1">
      <c r="B132" s="9" t="s">
        <v>80</v>
      </c>
      <c r="E132" s="19"/>
      <c r="F132" s="20">
        <f>'Базовые концовки'!F40</f>
        <v>0</v>
      </c>
      <c r="G132" s="20"/>
      <c r="H132" s="20"/>
      <c r="J132" s="8"/>
      <c r="N132" s="20"/>
      <c r="R132" s="20"/>
    </row>
    <row r="133" spans="2:18" ht="10.5" hidden="1">
      <c r="B133" s="9" t="s">
        <v>81</v>
      </c>
      <c r="E133" s="19"/>
      <c r="F133" s="20">
        <f>'Базовые концовки'!F41</f>
        <v>0</v>
      </c>
      <c r="G133" s="20"/>
      <c r="H133" s="20"/>
      <c r="J133" s="8"/>
      <c r="N133" s="20"/>
      <c r="R133" s="20"/>
    </row>
    <row r="134" spans="2:18" ht="10.5" hidden="1">
      <c r="B134" s="9" t="s">
        <v>89</v>
      </c>
      <c r="E134" s="19"/>
      <c r="F134" s="20">
        <f>'Базовые концовки'!F42</f>
        <v>0</v>
      </c>
      <c r="G134" s="20"/>
      <c r="H134" s="20"/>
      <c r="J134" s="8"/>
      <c r="N134" s="20"/>
      <c r="R134" s="20"/>
    </row>
    <row r="135" spans="2:18" ht="10.5" hidden="1">
      <c r="B135" s="9" t="s">
        <v>90</v>
      </c>
      <c r="E135" s="19"/>
      <c r="F135" s="20">
        <f>'Базовые концовки'!F43</f>
        <v>0</v>
      </c>
      <c r="G135" s="20">
        <f>'Базовые концовки'!G43</f>
        <v>0</v>
      </c>
      <c r="H135" s="20">
        <f>'Базовые концовки'!H43</f>
        <v>0</v>
      </c>
      <c r="J135" s="8">
        <f>'Базовые концовки'!J43</f>
        <v>0</v>
      </c>
      <c r="N135" s="20">
        <f>'Базовые концовки'!L43</f>
        <v>0</v>
      </c>
      <c r="R135" s="20">
        <f>'Базовые концовки'!M43</f>
        <v>0</v>
      </c>
    </row>
    <row r="136" spans="2:18" ht="10.5" hidden="1">
      <c r="B136" s="9" t="s">
        <v>75</v>
      </c>
      <c r="E136" s="19"/>
      <c r="F136" s="20"/>
      <c r="G136" s="20"/>
      <c r="H136" s="20"/>
      <c r="J136" s="8"/>
      <c r="N136" s="20"/>
      <c r="R136" s="20"/>
    </row>
    <row r="137" spans="2:18" ht="10.5" hidden="1">
      <c r="B137" s="9" t="s">
        <v>91</v>
      </c>
      <c r="E137" s="19"/>
      <c r="F137" s="20">
        <f>'Базовые концовки'!F45</f>
        <v>0</v>
      </c>
      <c r="G137" s="20"/>
      <c r="H137" s="20"/>
      <c r="J137" s="8"/>
      <c r="N137" s="20"/>
      <c r="R137" s="20"/>
    </row>
    <row r="138" spans="2:18" ht="10.5" hidden="1">
      <c r="B138" s="9" t="s">
        <v>79</v>
      </c>
      <c r="E138" s="19"/>
      <c r="F138" s="20">
        <f>'Базовые концовки'!F46</f>
        <v>0</v>
      </c>
      <c r="G138" s="20"/>
      <c r="H138" s="20"/>
      <c r="J138" s="8"/>
      <c r="N138" s="20"/>
      <c r="R138" s="20"/>
    </row>
    <row r="139" spans="2:18" ht="10.5" hidden="1">
      <c r="B139" s="9" t="s">
        <v>80</v>
      </c>
      <c r="E139" s="19"/>
      <c r="F139" s="20">
        <f>'Базовые концовки'!F47</f>
        <v>0</v>
      </c>
      <c r="G139" s="20"/>
      <c r="H139" s="20"/>
      <c r="J139" s="8"/>
      <c r="N139" s="20"/>
      <c r="R139" s="20"/>
    </row>
    <row r="140" spans="2:18" ht="10.5" hidden="1">
      <c r="B140" s="9" t="s">
        <v>81</v>
      </c>
      <c r="E140" s="19"/>
      <c r="F140" s="20">
        <f>'Базовые концовки'!F48</f>
        <v>0</v>
      </c>
      <c r="G140" s="20"/>
      <c r="H140" s="20"/>
      <c r="J140" s="8"/>
      <c r="N140" s="20"/>
      <c r="R140" s="20"/>
    </row>
    <row r="141" spans="2:18" ht="10.5" hidden="1">
      <c r="B141" s="9" t="s">
        <v>72</v>
      </c>
      <c r="E141" s="19"/>
      <c r="F141" s="20">
        <f>'Базовые концовки'!F49</f>
        <v>0</v>
      </c>
      <c r="G141" s="20"/>
      <c r="H141" s="20"/>
      <c r="J141" s="8"/>
      <c r="N141" s="20"/>
      <c r="R141" s="20"/>
    </row>
    <row r="142" spans="2:18" ht="10.5" hidden="1">
      <c r="B142" s="9" t="s">
        <v>92</v>
      </c>
      <c r="E142" s="19"/>
      <c r="F142" s="20">
        <f>'Базовые концовки'!F50</f>
        <v>0</v>
      </c>
      <c r="G142" s="20"/>
      <c r="H142" s="20"/>
      <c r="J142" s="8"/>
      <c r="N142" s="20"/>
      <c r="R142" s="20"/>
    </row>
    <row r="143" spans="2:18" ht="10.5" hidden="1">
      <c r="B143" s="9" t="s">
        <v>93</v>
      </c>
      <c r="E143" s="19"/>
      <c r="F143" s="20">
        <f>'Базовые концовки'!F51</f>
        <v>0</v>
      </c>
      <c r="G143" s="20">
        <f>'Базовые концовки'!G51</f>
        <v>0</v>
      </c>
      <c r="H143" s="20">
        <f>'Базовые концовки'!H51</f>
        <v>0</v>
      </c>
      <c r="J143" s="8">
        <f>'Базовые концовки'!J51</f>
        <v>0</v>
      </c>
      <c r="N143" s="20">
        <f>'Базовые концовки'!L51</f>
        <v>0</v>
      </c>
      <c r="R143" s="20">
        <f>'Базовые концовки'!M51</f>
        <v>0</v>
      </c>
    </row>
    <row r="144" spans="2:18" ht="10.5" hidden="1">
      <c r="B144" s="9" t="s">
        <v>79</v>
      </c>
      <c r="E144" s="19"/>
      <c r="F144" s="20">
        <f>'Базовые концовки'!F52</f>
        <v>0</v>
      </c>
      <c r="G144" s="20"/>
      <c r="H144" s="20"/>
      <c r="J144" s="8"/>
      <c r="N144" s="20"/>
      <c r="R144" s="20"/>
    </row>
    <row r="145" spans="2:18" ht="10.5" hidden="1">
      <c r="B145" s="9" t="s">
        <v>80</v>
      </c>
      <c r="E145" s="19"/>
      <c r="F145" s="20">
        <f>'Базовые концовки'!F53</f>
        <v>0</v>
      </c>
      <c r="G145" s="20"/>
      <c r="H145" s="20"/>
      <c r="J145" s="8"/>
      <c r="N145" s="20"/>
      <c r="R145" s="20"/>
    </row>
    <row r="146" spans="2:18" ht="10.5" hidden="1">
      <c r="B146" s="9" t="s">
        <v>81</v>
      </c>
      <c r="E146" s="19"/>
      <c r="F146" s="20">
        <f>'Базовые концовки'!F54</f>
        <v>0</v>
      </c>
      <c r="G146" s="20"/>
      <c r="H146" s="20"/>
      <c r="J146" s="8"/>
      <c r="N146" s="20"/>
      <c r="R146" s="20"/>
    </row>
    <row r="147" spans="2:18" ht="10.5" hidden="1">
      <c r="B147" s="9" t="s">
        <v>94</v>
      </c>
      <c r="E147" s="19"/>
      <c r="F147" s="20">
        <f>'Базовые концовки'!F55</f>
        <v>0</v>
      </c>
      <c r="G147" s="20"/>
      <c r="H147" s="20"/>
      <c r="J147" s="8"/>
      <c r="N147" s="20"/>
      <c r="R147" s="20"/>
    </row>
    <row r="148" spans="2:18" ht="10.5" hidden="1">
      <c r="B148" s="9" t="s">
        <v>95</v>
      </c>
      <c r="E148" s="19"/>
      <c r="F148" s="20">
        <f>'Базовые концовки'!F56</f>
        <v>0</v>
      </c>
      <c r="G148" s="20">
        <f>'Базовые концовки'!G56</f>
        <v>0</v>
      </c>
      <c r="H148" s="20">
        <f>'Базовые концовки'!H56</f>
        <v>0</v>
      </c>
      <c r="J148" s="8">
        <f>'Базовые концовки'!J56</f>
        <v>0</v>
      </c>
      <c r="N148" s="20">
        <f>'Базовые концовки'!L56</f>
        <v>0</v>
      </c>
      <c r="R148" s="20">
        <f>'Базовые концовки'!M56</f>
        <v>0</v>
      </c>
    </row>
    <row r="149" spans="2:18" ht="10.5" hidden="1">
      <c r="B149" s="9" t="s">
        <v>79</v>
      </c>
      <c r="E149" s="19"/>
      <c r="F149" s="20">
        <f>'Базовые концовки'!F57</f>
        <v>0</v>
      </c>
      <c r="G149" s="20"/>
      <c r="H149" s="20"/>
      <c r="J149" s="8"/>
      <c r="N149" s="20"/>
      <c r="R149" s="20"/>
    </row>
    <row r="150" spans="2:18" ht="10.5" hidden="1">
      <c r="B150" s="9" t="s">
        <v>80</v>
      </c>
      <c r="E150" s="19"/>
      <c r="F150" s="20">
        <f>'Базовые концовки'!F58</f>
        <v>0</v>
      </c>
      <c r="G150" s="20"/>
      <c r="H150" s="20"/>
      <c r="J150" s="8"/>
      <c r="N150" s="20"/>
      <c r="R150" s="20"/>
    </row>
    <row r="151" spans="2:18" ht="10.5" hidden="1">
      <c r="B151" s="9" t="s">
        <v>81</v>
      </c>
      <c r="E151" s="19"/>
      <c r="F151" s="20">
        <f>'Базовые концовки'!F59</f>
        <v>0</v>
      </c>
      <c r="G151" s="20"/>
      <c r="H151" s="20"/>
      <c r="J151" s="8"/>
      <c r="N151" s="20"/>
      <c r="R151" s="20"/>
    </row>
    <row r="152" spans="2:18" ht="10.5" hidden="1">
      <c r="B152" s="9" t="s">
        <v>96</v>
      </c>
      <c r="E152" s="19"/>
      <c r="F152" s="20">
        <f>'Базовые концовки'!F60</f>
        <v>0</v>
      </c>
      <c r="G152" s="20"/>
      <c r="H152" s="20"/>
      <c r="J152" s="8"/>
      <c r="N152" s="20"/>
      <c r="R152" s="20"/>
    </row>
    <row r="153" spans="2:18" ht="10.5" hidden="1">
      <c r="B153" s="9" t="s">
        <v>97</v>
      </c>
      <c r="E153" s="19"/>
      <c r="F153" s="20">
        <f>'Базовые концовки'!F61</f>
        <v>0</v>
      </c>
      <c r="G153" s="20">
        <f>'Базовые концовки'!G61</f>
        <v>0</v>
      </c>
      <c r="H153" s="20">
        <f>'Базовые концовки'!H61</f>
        <v>0</v>
      </c>
      <c r="J153" s="8">
        <f>'Базовые концовки'!J61</f>
        <v>0</v>
      </c>
      <c r="N153" s="20">
        <f>'Базовые концовки'!L61</f>
        <v>0</v>
      </c>
      <c r="R153" s="20">
        <f>'Базовые концовки'!M61</f>
        <v>0</v>
      </c>
    </row>
    <row r="154" spans="2:18" ht="10.5" hidden="1">
      <c r="B154" s="9" t="s">
        <v>75</v>
      </c>
      <c r="E154" s="19"/>
      <c r="F154" s="20"/>
      <c r="G154" s="20"/>
      <c r="H154" s="20"/>
      <c r="J154" s="8"/>
      <c r="N154" s="20"/>
      <c r="R154" s="20"/>
    </row>
    <row r="155" spans="2:18" ht="10.5" hidden="1">
      <c r="B155" s="9" t="s">
        <v>98</v>
      </c>
      <c r="E155" s="19"/>
      <c r="F155" s="20">
        <f>'Базовые концовки'!F63</f>
        <v>392</v>
      </c>
      <c r="G155" s="20"/>
      <c r="H155" s="20"/>
      <c r="J155" s="8"/>
      <c r="N155" s="20"/>
      <c r="R155" s="20"/>
    </row>
    <row r="156" spans="2:18" ht="10.5" hidden="1">
      <c r="B156" s="9" t="s">
        <v>79</v>
      </c>
      <c r="E156" s="19"/>
      <c r="F156" s="20">
        <f>'Базовые концовки'!F64</f>
        <v>0</v>
      </c>
      <c r="G156" s="20"/>
      <c r="H156" s="20"/>
      <c r="J156" s="8"/>
      <c r="N156" s="20"/>
      <c r="R156" s="20"/>
    </row>
    <row r="157" spans="2:18" ht="10.5" hidden="1">
      <c r="B157" s="9" t="s">
        <v>99</v>
      </c>
      <c r="E157" s="19"/>
      <c r="F157" s="20">
        <f>'Базовые концовки'!F65</f>
        <v>0</v>
      </c>
      <c r="G157" s="20"/>
      <c r="H157" s="20"/>
      <c r="J157" s="8"/>
      <c r="N157" s="20"/>
      <c r="R157" s="20"/>
    </row>
    <row r="158" spans="2:18" ht="10.5" hidden="1">
      <c r="B158" s="9" t="s">
        <v>81</v>
      </c>
      <c r="E158" s="19"/>
      <c r="F158" s="20">
        <f>'Базовые концовки'!F66</f>
        <v>0</v>
      </c>
      <c r="G158" s="20"/>
      <c r="H158" s="20"/>
      <c r="J158" s="8"/>
      <c r="N158" s="20"/>
      <c r="R158" s="20"/>
    </row>
    <row r="159" spans="2:18" ht="10.5" hidden="1">
      <c r="B159" s="9" t="s">
        <v>100</v>
      </c>
      <c r="E159" s="19"/>
      <c r="F159" s="20">
        <f>'Базовые концовки'!F67</f>
        <v>0</v>
      </c>
      <c r="G159" s="20"/>
      <c r="H159" s="20"/>
      <c r="J159" s="8"/>
      <c r="N159" s="20"/>
      <c r="R159" s="20"/>
    </row>
    <row r="160" spans="2:18" ht="10.5" hidden="1">
      <c r="B160" s="9" t="s">
        <v>101</v>
      </c>
      <c r="E160" s="19"/>
      <c r="F160" s="20">
        <f>'Базовые концовки'!F68</f>
        <v>0</v>
      </c>
      <c r="G160" s="20">
        <f>'Базовые концовки'!G68</f>
        <v>0</v>
      </c>
      <c r="H160" s="20">
        <f>'Базовые концовки'!H68</f>
        <v>0</v>
      </c>
      <c r="J160" s="8">
        <f>'Базовые концовки'!J68</f>
        <v>0</v>
      </c>
      <c r="N160" s="20">
        <f>'Базовые концовки'!L68</f>
        <v>0</v>
      </c>
      <c r="R160" s="20">
        <f>'Базовые концовки'!M68</f>
        <v>0</v>
      </c>
    </row>
    <row r="161" spans="2:18" ht="10.5" hidden="1">
      <c r="B161" s="9" t="s">
        <v>99</v>
      </c>
      <c r="E161" s="19"/>
      <c r="F161" s="20">
        <f>'Базовые концовки'!F69</f>
        <v>0</v>
      </c>
      <c r="G161" s="20"/>
      <c r="H161" s="20"/>
      <c r="J161" s="8"/>
      <c r="N161" s="20"/>
      <c r="R161" s="20"/>
    </row>
    <row r="162" spans="2:18" ht="10.5" hidden="1">
      <c r="B162" s="9" t="s">
        <v>81</v>
      </c>
      <c r="E162" s="19"/>
      <c r="F162" s="20">
        <f>'Базовые концовки'!F70</f>
        <v>0</v>
      </c>
      <c r="G162" s="20"/>
      <c r="H162" s="20"/>
      <c r="J162" s="8"/>
      <c r="N162" s="20"/>
      <c r="R162" s="20"/>
    </row>
    <row r="163" spans="2:18" ht="10.5" hidden="1">
      <c r="B163" s="9" t="s">
        <v>102</v>
      </c>
      <c r="E163" s="19"/>
      <c r="F163" s="20">
        <f>'Базовые концовки'!F71</f>
        <v>0</v>
      </c>
      <c r="G163" s="20"/>
      <c r="H163" s="20"/>
      <c r="J163" s="8"/>
      <c r="N163" s="20"/>
      <c r="R163" s="20"/>
    </row>
    <row r="164" spans="2:18" ht="10.5" hidden="1">
      <c r="B164" s="9" t="s">
        <v>103</v>
      </c>
      <c r="E164" s="19"/>
      <c r="F164" s="20">
        <f>'Базовые концовки'!F72</f>
        <v>0</v>
      </c>
      <c r="G164" s="20">
        <f>'Базовые концовки'!G72</f>
        <v>0</v>
      </c>
      <c r="H164" s="20">
        <f>'Базовые концовки'!H72</f>
        <v>0</v>
      </c>
      <c r="J164" s="8">
        <f>'Базовые концовки'!J72</f>
        <v>0</v>
      </c>
      <c r="N164" s="20">
        <f>'Базовые концовки'!L72</f>
        <v>0</v>
      </c>
      <c r="R164" s="20">
        <f>'Базовые концовки'!M72</f>
        <v>0</v>
      </c>
    </row>
    <row r="165" spans="2:18" ht="10.5" hidden="1">
      <c r="B165" s="9" t="s">
        <v>79</v>
      </c>
      <c r="E165" s="19"/>
      <c r="F165" s="20">
        <f>'Базовые концовки'!F73</f>
        <v>0</v>
      </c>
      <c r="G165" s="20"/>
      <c r="H165" s="20"/>
      <c r="J165" s="8"/>
      <c r="N165" s="20"/>
      <c r="R165" s="20"/>
    </row>
    <row r="166" spans="2:18" ht="10.5" hidden="1">
      <c r="B166" s="9" t="s">
        <v>99</v>
      </c>
      <c r="E166" s="19"/>
      <c r="F166" s="20">
        <f>'Базовые концовки'!F74</f>
        <v>0</v>
      </c>
      <c r="G166" s="20"/>
      <c r="H166" s="20"/>
      <c r="J166" s="8"/>
      <c r="N166" s="20"/>
      <c r="R166" s="20"/>
    </row>
    <row r="167" spans="2:18" ht="10.5" hidden="1">
      <c r="B167" s="9" t="s">
        <v>81</v>
      </c>
      <c r="E167" s="19"/>
      <c r="F167" s="20">
        <f>'Базовые концовки'!F75</f>
        <v>0</v>
      </c>
      <c r="G167" s="20"/>
      <c r="H167" s="20"/>
      <c r="J167" s="8"/>
      <c r="N167" s="20"/>
      <c r="R167" s="20"/>
    </row>
    <row r="168" spans="2:18" ht="10.5" hidden="1">
      <c r="B168" s="9" t="s">
        <v>104</v>
      </c>
      <c r="E168" s="19"/>
      <c r="F168" s="20">
        <f>'Базовые концовки'!F76</f>
        <v>0</v>
      </c>
      <c r="G168" s="20"/>
      <c r="H168" s="20"/>
      <c r="J168" s="8"/>
      <c r="N168" s="20"/>
      <c r="R168" s="20"/>
    </row>
    <row r="169" spans="2:18" ht="10.5" hidden="1">
      <c r="B169" s="9" t="s">
        <v>105</v>
      </c>
      <c r="E169" s="19"/>
      <c r="F169" s="20">
        <f>'Базовые концовки'!F77</f>
        <v>0</v>
      </c>
      <c r="G169" s="20">
        <f>'Базовые концовки'!G77</f>
        <v>0</v>
      </c>
      <c r="H169" s="20">
        <f>'Базовые концовки'!H77</f>
        <v>0</v>
      </c>
      <c r="J169" s="8">
        <f>'Базовые концовки'!J77</f>
        <v>0</v>
      </c>
      <c r="N169" s="20">
        <f>'Базовые концовки'!L77</f>
        <v>0</v>
      </c>
      <c r="R169" s="20">
        <f>'Базовые концовки'!M77</f>
        <v>0</v>
      </c>
    </row>
    <row r="170" spans="2:18" ht="10.5" hidden="1">
      <c r="B170" s="9" t="s">
        <v>79</v>
      </c>
      <c r="E170" s="19"/>
      <c r="F170" s="20">
        <f>'Базовые концовки'!F78</f>
        <v>0</v>
      </c>
      <c r="G170" s="20"/>
      <c r="H170" s="20"/>
      <c r="J170" s="8"/>
      <c r="N170" s="20"/>
      <c r="R170" s="20"/>
    </row>
    <row r="171" spans="2:18" ht="10.5">
      <c r="B171" s="9" t="s">
        <v>106</v>
      </c>
      <c r="E171" s="19"/>
      <c r="F171" s="20">
        <f>'Базовые концовки'!F79</f>
        <v>8068.73</v>
      </c>
      <c r="G171" s="20">
        <f>'Базовые концовки'!G79</f>
        <v>0</v>
      </c>
      <c r="H171" s="20">
        <f>'Базовые концовки'!H79</f>
        <v>0</v>
      </c>
      <c r="J171" s="8">
        <f>'Базовые концовки'!J79</f>
        <v>0</v>
      </c>
      <c r="N171" s="20">
        <f>'Базовые концовки'!L79</f>
        <v>0</v>
      </c>
      <c r="R171" s="20">
        <f>'Базовые концовки'!M79</f>
        <v>0</v>
      </c>
    </row>
    <row r="172" spans="2:18" ht="10.5" hidden="1">
      <c r="B172" s="9" t="s">
        <v>107</v>
      </c>
      <c r="E172" s="19"/>
      <c r="F172" s="20">
        <f>'Базовые концовки'!F80</f>
        <v>0</v>
      </c>
      <c r="G172" s="20"/>
      <c r="H172" s="20"/>
      <c r="J172" s="8"/>
      <c r="N172" s="20"/>
      <c r="R172" s="20"/>
    </row>
    <row r="173" spans="2:18" ht="10.5">
      <c r="B173" s="9" t="s">
        <v>108</v>
      </c>
      <c r="E173" s="19"/>
      <c r="F173" s="20">
        <f>'Базовые концовки'!F81</f>
        <v>196.1</v>
      </c>
      <c r="G173" s="20"/>
      <c r="H173" s="20"/>
      <c r="J173" s="8"/>
      <c r="N173" s="20"/>
      <c r="R173" s="20"/>
    </row>
    <row r="174" spans="2:18" ht="10.5">
      <c r="B174" s="9" t="s">
        <v>109</v>
      </c>
      <c r="E174" s="19"/>
      <c r="F174" s="20">
        <f>'Базовые концовки'!F82</f>
        <v>111.17</v>
      </c>
      <c r="G174" s="20"/>
      <c r="H174" s="20"/>
      <c r="J174" s="8"/>
      <c r="N174" s="20"/>
      <c r="R174" s="20"/>
    </row>
    <row r="175" spans="2:18" ht="10.5">
      <c r="B175" s="9" t="s">
        <v>110</v>
      </c>
      <c r="E175" s="19">
        <v>3.74</v>
      </c>
      <c r="F175" s="20">
        <f>'Базовые концовки'!F83</f>
        <v>30177.05</v>
      </c>
      <c r="G175" s="20"/>
      <c r="H175" s="20"/>
      <c r="J175" s="8"/>
      <c r="N175" s="20"/>
      <c r="R175" s="20"/>
    </row>
    <row r="176" spans="2:18" ht="10.5">
      <c r="B176" s="9" t="s">
        <v>111</v>
      </c>
      <c r="E176" s="19">
        <v>18</v>
      </c>
      <c r="F176" s="20">
        <f>'Базовые концовки'!F84</f>
        <v>5431.87</v>
      </c>
      <c r="G176" s="20"/>
      <c r="H176" s="20"/>
      <c r="J176" s="8"/>
      <c r="N176" s="20"/>
      <c r="R176" s="20"/>
    </row>
    <row r="177" spans="2:18" ht="10.5">
      <c r="B177" s="9" t="s">
        <v>112</v>
      </c>
      <c r="E177" s="19"/>
      <c r="F177" s="20">
        <f>'Базовые концовки'!F85</f>
        <v>35608.92</v>
      </c>
      <c r="G177" s="20"/>
      <c r="H177" s="20"/>
      <c r="J177" s="8"/>
      <c r="N177" s="20"/>
      <c r="R177" s="20"/>
    </row>
    <row r="178" spans="2:18" ht="10.5" hidden="1">
      <c r="B178" s="9" t="s">
        <v>113</v>
      </c>
      <c r="E178" s="19"/>
      <c r="F178" s="20"/>
      <c r="G178" s="20"/>
      <c r="H178" s="20"/>
      <c r="J178" s="8"/>
      <c r="N178" s="20">
        <f>'Базовые концовки'!L86</f>
        <v>0</v>
      </c>
      <c r="R178" s="20"/>
    </row>
    <row r="179" spans="2:18" ht="10.5" hidden="1">
      <c r="B179" s="9" t="s">
        <v>114</v>
      </c>
      <c r="E179" s="19"/>
      <c r="F179" s="20">
        <f>'Базовые концовки'!F87</f>
        <v>63.81</v>
      </c>
      <c r="G179" s="20"/>
      <c r="H179" s="20"/>
      <c r="J179" s="8"/>
      <c r="N179" s="20"/>
      <c r="R179" s="20"/>
    </row>
    <row r="180" spans="2:18" ht="10.5" hidden="1">
      <c r="B180" s="9" t="s">
        <v>115</v>
      </c>
      <c r="E180" s="19"/>
      <c r="F180" s="20">
        <f>'Базовые концовки'!F88</f>
        <v>76.34</v>
      </c>
      <c r="G180" s="20"/>
      <c r="H180" s="20"/>
      <c r="J180" s="8"/>
      <c r="N180" s="20"/>
      <c r="R180" s="20"/>
    </row>
    <row r="181" spans="2:18" ht="10.5" hidden="1">
      <c r="B181" s="9" t="s">
        <v>116</v>
      </c>
      <c r="E181" s="19"/>
      <c r="F181" s="20">
        <f>'Базовые концовки'!F89</f>
        <v>140.15</v>
      </c>
      <c r="G181" s="20"/>
      <c r="H181" s="20"/>
      <c r="J181" s="8"/>
      <c r="N181" s="20"/>
      <c r="R181" s="20"/>
    </row>
    <row r="182" spans="2:18" ht="10.5" hidden="1">
      <c r="B182" s="9" t="s">
        <v>117</v>
      </c>
      <c r="E182" s="19"/>
      <c r="F182" s="20"/>
      <c r="G182" s="20"/>
      <c r="H182" s="20"/>
      <c r="J182" s="8">
        <f>'Базовые концовки'!J90</f>
        <v>5.7555195</v>
      </c>
      <c r="N182" s="20"/>
      <c r="R182" s="20"/>
    </row>
    <row r="183" spans="2:18" ht="10.5" hidden="1">
      <c r="B183" s="9" t="s">
        <v>118</v>
      </c>
      <c r="E183" s="19"/>
      <c r="F183" s="20"/>
      <c r="G183" s="20"/>
      <c r="H183" s="20"/>
      <c r="J183" s="8">
        <f>'Базовые концовки'!J91</f>
        <v>4.917401</v>
      </c>
      <c r="N183" s="20"/>
      <c r="R183" s="20"/>
    </row>
    <row r="184" spans="2:18" ht="10.5" hidden="1">
      <c r="B184" s="9" t="s">
        <v>119</v>
      </c>
      <c r="E184" s="19"/>
      <c r="F184" s="20"/>
      <c r="G184" s="20"/>
      <c r="H184" s="20"/>
      <c r="J184" s="8">
        <f>'Базовые концовки'!J92</f>
        <v>10.6729205</v>
      </c>
      <c r="N184" s="20"/>
      <c r="R184" s="20"/>
    </row>
    <row r="186" spans="2:10" ht="10.5">
      <c r="B186" s="51" t="s">
        <v>120</v>
      </c>
      <c r="C186" s="51"/>
      <c r="D186" s="51"/>
      <c r="E186" s="51"/>
      <c r="F186" s="51"/>
      <c r="G186" s="51"/>
      <c r="H186" s="51"/>
      <c r="I186" s="51"/>
      <c r="J186" s="51"/>
    </row>
    <row r="187" spans="2:10" ht="10.5"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4" ht="10.5">
      <c r="A188" s="49" t="s">
        <v>121</v>
      </c>
      <c r="B188" s="50" t="s">
        <v>122</v>
      </c>
      <c r="C188" s="46">
        <v>1</v>
      </c>
      <c r="D188" s="12">
        <f>'Базовые цены за единицу'!B19</f>
        <v>2972.68</v>
      </c>
      <c r="E188" s="12">
        <v>2972.68</v>
      </c>
      <c r="F188" s="48">
        <f>'Базовые цены с учетом расхода'!B19</f>
        <v>2972.68</v>
      </c>
      <c r="G188" s="48">
        <f>'Базовые цены с учетом расхода'!C19</f>
        <v>0</v>
      </c>
      <c r="H188" s="12">
        <f>'Базовые цены с учетом расхода'!D19</f>
        <v>2972.68</v>
      </c>
      <c r="I188" s="14"/>
      <c r="J188" s="14">
        <f>'Базовые цены с учетом расхода'!I19</f>
        <v>0</v>
      </c>
      <c r="K188" s="2" t="s">
        <v>31</v>
      </c>
      <c r="L188" s="2" t="s">
        <v>32</v>
      </c>
      <c r="N188" s="48">
        <f>'Базовые цены с учетом расхода'!F19</f>
        <v>0</v>
      </c>
    </row>
    <row r="189" spans="1:14" ht="10.5">
      <c r="A189" s="46"/>
      <c r="B189" s="46"/>
      <c r="C189" s="46"/>
      <c r="D189" s="13"/>
      <c r="E189" s="13">
        <v>1702.3</v>
      </c>
      <c r="F189" s="48"/>
      <c r="G189" s="48"/>
      <c r="H189" s="13">
        <f>'Базовые цены с учетом расхода'!E19</f>
        <v>1702.3</v>
      </c>
      <c r="I189" s="2">
        <v>127.03763</v>
      </c>
      <c r="J189" s="2">
        <f>'Базовые цены с учетом расхода'!K19</f>
        <v>127.03763</v>
      </c>
      <c r="K189" s="2" t="s">
        <v>33</v>
      </c>
      <c r="L189" s="2" t="s">
        <v>34</v>
      </c>
      <c r="N189" s="48"/>
    </row>
    <row r="190" spans="2:10" ht="10.5">
      <c r="B190" s="47" t="s">
        <v>332</v>
      </c>
      <c r="C190" s="47"/>
      <c r="D190" s="47"/>
      <c r="E190" s="47"/>
      <c r="F190" s="47"/>
      <c r="G190" s="47"/>
      <c r="H190" s="47"/>
      <c r="I190" s="47"/>
      <c r="J190" s="47"/>
    </row>
    <row r="191" spans="2:12" ht="10.5" hidden="1">
      <c r="B191" s="15" t="s">
        <v>35</v>
      </c>
      <c r="C191" s="1">
        <v>80</v>
      </c>
      <c r="F191" s="16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1361.84</v>
      </c>
      <c r="L191" s="5" t="s">
        <v>36</v>
      </c>
    </row>
    <row r="192" spans="2:12" ht="10.5" hidden="1">
      <c r="B192" s="15" t="s">
        <v>37</v>
      </c>
      <c r="F192" s="16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1361.84</v>
      </c>
      <c r="L192" s="5" t="s">
        <v>38</v>
      </c>
    </row>
    <row r="193" spans="2:12" ht="10.5" hidden="1">
      <c r="B193" s="15" t="s">
        <v>39</v>
      </c>
      <c r="F193" s="16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1361.84</v>
      </c>
      <c r="L193" s="5" t="s">
        <v>40</v>
      </c>
    </row>
    <row r="194" spans="2:12" ht="10.5" hidden="1">
      <c r="B194" s="15" t="s">
        <v>41</v>
      </c>
      <c r="C194" s="1">
        <v>38</v>
      </c>
      <c r="F194" s="16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646.87</v>
      </c>
      <c r="L194" s="5" t="s">
        <v>42</v>
      </c>
    </row>
    <row r="195" spans="2:12" ht="10.5" hidden="1">
      <c r="B195" s="15" t="s">
        <v>43</v>
      </c>
      <c r="F195" s="16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646.87</v>
      </c>
      <c r="L195" s="5" t="s">
        <v>44</v>
      </c>
    </row>
    <row r="196" spans="2:12" ht="10.5" hidden="1">
      <c r="B196" s="15" t="s">
        <v>45</v>
      </c>
      <c r="F196" s="16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646.87</v>
      </c>
      <c r="L196" s="5" t="s">
        <v>46</v>
      </c>
    </row>
    <row r="197" spans="1:10" ht="10.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4" ht="10.5">
      <c r="A198" s="49" t="s">
        <v>123</v>
      </c>
      <c r="B198" s="50" t="s">
        <v>124</v>
      </c>
      <c r="C198" s="46">
        <v>10</v>
      </c>
      <c r="D198" s="12">
        <f>'Базовые цены за единицу'!B20</f>
        <v>62.48</v>
      </c>
      <c r="E198" s="12"/>
      <c r="F198" s="48">
        <f>'Базовые цены с учетом расхода'!B20</f>
        <v>624.8</v>
      </c>
      <c r="G198" s="48">
        <f>'Базовые цены с учетом расхода'!C20</f>
        <v>624.8</v>
      </c>
      <c r="H198" s="12">
        <f>'Базовые цены с учетом расхода'!D20</f>
        <v>0</v>
      </c>
      <c r="I198" s="14">
        <v>6.3825</v>
      </c>
      <c r="J198" s="14">
        <f>'Базовые цены с учетом расхода'!I20</f>
        <v>63.825</v>
      </c>
      <c r="K198" s="2" t="s">
        <v>31</v>
      </c>
      <c r="L198" s="2" t="s">
        <v>32</v>
      </c>
      <c r="N198" s="48">
        <f>'Базовые цены с учетом расхода'!F20</f>
        <v>0</v>
      </c>
    </row>
    <row r="199" spans="1:14" ht="43.5" customHeight="1">
      <c r="A199" s="46"/>
      <c r="B199" s="46"/>
      <c r="C199" s="46"/>
      <c r="D199" s="13">
        <v>62.48</v>
      </c>
      <c r="E199" s="13"/>
      <c r="F199" s="48"/>
      <c r="G199" s="48"/>
      <c r="H199" s="13">
        <f>'Базовые цены с учетом расхода'!E20</f>
        <v>0</v>
      </c>
      <c r="J199" s="2">
        <f>'Базовые цены с учетом расхода'!K20</f>
        <v>0</v>
      </c>
      <c r="K199" s="2" t="s">
        <v>33</v>
      </c>
      <c r="L199" s="2" t="s">
        <v>34</v>
      </c>
      <c r="N199" s="48"/>
    </row>
    <row r="200" spans="2:12" ht="10.5" hidden="1">
      <c r="B200" s="15" t="s">
        <v>35</v>
      </c>
      <c r="C200" s="1">
        <v>74</v>
      </c>
      <c r="F200" s="16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462.35</v>
      </c>
      <c r="L200" s="5" t="s">
        <v>36</v>
      </c>
    </row>
    <row r="201" spans="2:12" ht="10.5" hidden="1">
      <c r="B201" s="15" t="s">
        <v>37</v>
      </c>
      <c r="F201" s="16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462.35</v>
      </c>
      <c r="L201" s="5" t="s">
        <v>38</v>
      </c>
    </row>
    <row r="202" spans="2:12" ht="10.5" hidden="1">
      <c r="B202" s="15" t="s">
        <v>39</v>
      </c>
      <c r="F202" s="16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462.35</v>
      </c>
      <c r="L202" s="5" t="s">
        <v>40</v>
      </c>
    </row>
    <row r="203" spans="2:12" ht="10.5" hidden="1">
      <c r="B203" s="15" t="s">
        <v>41</v>
      </c>
      <c r="C203" s="1">
        <v>50</v>
      </c>
      <c r="F203" s="16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312.4</v>
      </c>
      <c r="L203" s="5" t="s">
        <v>42</v>
      </c>
    </row>
    <row r="204" spans="2:12" ht="10.5" hidden="1">
      <c r="B204" s="15" t="s">
        <v>43</v>
      </c>
      <c r="F204" s="16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312.4</v>
      </c>
      <c r="L204" s="5" t="s">
        <v>44</v>
      </c>
    </row>
    <row r="205" spans="2:12" ht="10.5" hidden="1">
      <c r="B205" s="15" t="s">
        <v>45</v>
      </c>
      <c r="F205" s="16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312.4</v>
      </c>
      <c r="L205" s="5" t="s">
        <v>46</v>
      </c>
    </row>
    <row r="206" spans="1:10" ht="10.5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4" ht="10.5">
      <c r="A207" s="49" t="s">
        <v>125</v>
      </c>
      <c r="B207" s="50" t="s">
        <v>126</v>
      </c>
      <c r="C207" s="46">
        <v>2</v>
      </c>
      <c r="D207" s="12">
        <f>'Базовые цены за единицу'!B21</f>
        <v>358.16</v>
      </c>
      <c r="E207" s="12">
        <v>243.88</v>
      </c>
      <c r="F207" s="48">
        <f>'Базовые цены с учетом расхода'!B21</f>
        <v>716.32</v>
      </c>
      <c r="G207" s="48">
        <f>'Базовые цены с учетом расхода'!C21</f>
        <v>225.54</v>
      </c>
      <c r="H207" s="12">
        <f>'Базовые цены с учетом расхода'!D21</f>
        <v>487.76</v>
      </c>
      <c r="I207" s="14">
        <v>10.833</v>
      </c>
      <c r="J207" s="14">
        <f>'Базовые цены с учетом расхода'!I21</f>
        <v>21.666</v>
      </c>
      <c r="K207" s="2" t="s">
        <v>31</v>
      </c>
      <c r="L207" s="2" t="s">
        <v>32</v>
      </c>
      <c r="N207" s="48">
        <f>'Базовые цены с учетом расхода'!F21</f>
        <v>3.02</v>
      </c>
    </row>
    <row r="208" spans="1:14" ht="33" customHeight="1">
      <c r="A208" s="46"/>
      <c r="B208" s="46"/>
      <c r="C208" s="46"/>
      <c r="D208" s="13">
        <v>112.77</v>
      </c>
      <c r="E208" s="13">
        <v>26.85</v>
      </c>
      <c r="F208" s="48"/>
      <c r="G208" s="48"/>
      <c r="H208" s="13">
        <f>'Базовые цены с учетом расхода'!E21</f>
        <v>53.7</v>
      </c>
      <c r="I208" s="2">
        <v>1.6445</v>
      </c>
      <c r="J208" s="2">
        <f>'Базовые цены с учетом расхода'!K21</f>
        <v>3.289</v>
      </c>
      <c r="K208" s="2" t="s">
        <v>33</v>
      </c>
      <c r="L208" s="2" t="s">
        <v>34</v>
      </c>
      <c r="N208" s="48"/>
    </row>
    <row r="209" spans="2:12" ht="10.5" hidden="1">
      <c r="B209" s="15" t="s">
        <v>35</v>
      </c>
      <c r="C209" s="1">
        <v>108</v>
      </c>
      <c r="F209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301.58</v>
      </c>
      <c r="L209" s="5" t="s">
        <v>36</v>
      </c>
    </row>
    <row r="210" spans="2:12" ht="10.5" hidden="1">
      <c r="B210" s="15" t="s">
        <v>37</v>
      </c>
      <c r="F210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301.58</v>
      </c>
      <c r="L210" s="5" t="s">
        <v>38</v>
      </c>
    </row>
    <row r="211" spans="2:12" ht="10.5" hidden="1">
      <c r="B211" s="15" t="s">
        <v>39</v>
      </c>
      <c r="F211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301.58</v>
      </c>
      <c r="L211" s="5" t="s">
        <v>40</v>
      </c>
    </row>
    <row r="212" spans="2:12" ht="10.5" hidden="1">
      <c r="B212" s="15" t="s">
        <v>41</v>
      </c>
      <c r="C212" s="1">
        <v>68</v>
      </c>
      <c r="F212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189.88</v>
      </c>
      <c r="L212" s="5" t="s">
        <v>42</v>
      </c>
    </row>
    <row r="213" spans="2:12" ht="10.5" hidden="1">
      <c r="B213" s="15" t="s">
        <v>43</v>
      </c>
      <c r="F213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189.88</v>
      </c>
      <c r="L213" s="5" t="s">
        <v>44</v>
      </c>
    </row>
    <row r="214" spans="2:12" ht="10.5" hidden="1">
      <c r="B214" s="15" t="s">
        <v>45</v>
      </c>
      <c r="F214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189.88</v>
      </c>
      <c r="L214" s="5" t="s">
        <v>46</v>
      </c>
    </row>
    <row r="215" spans="1:10" ht="10.5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4" ht="10.5">
      <c r="A216" s="49" t="s">
        <v>127</v>
      </c>
      <c r="B216" s="50" t="s">
        <v>128</v>
      </c>
      <c r="C216" s="46">
        <v>2</v>
      </c>
      <c r="D216" s="12">
        <f>'Базовые цены за единицу'!B22</f>
        <v>2888.2</v>
      </c>
      <c r="E216" s="12">
        <v>429.99</v>
      </c>
      <c r="F216" s="48">
        <f>'Базовые цены с учетом расхода'!B22</f>
        <v>5776.4</v>
      </c>
      <c r="G216" s="48">
        <f>'Базовые цены с учетом расхода'!C22</f>
        <v>262.38</v>
      </c>
      <c r="H216" s="12">
        <f>'Базовые цены с учетом расхода'!D22</f>
        <v>859.98</v>
      </c>
      <c r="I216" s="14">
        <v>9.746825</v>
      </c>
      <c r="J216" s="14">
        <f>'Базовые цены с учетом расхода'!I22</f>
        <v>19.49365</v>
      </c>
      <c r="K216" s="2" t="s">
        <v>31</v>
      </c>
      <c r="L216" s="2" t="s">
        <v>32</v>
      </c>
      <c r="N216" s="48">
        <f>'Базовые цены с учетом расхода'!F22</f>
        <v>4654.04</v>
      </c>
    </row>
    <row r="217" spans="1:14" ht="33" customHeight="1">
      <c r="A217" s="46"/>
      <c r="B217" s="46"/>
      <c r="C217" s="46"/>
      <c r="D217" s="13">
        <v>131.19</v>
      </c>
      <c r="E217" s="13">
        <v>41.08</v>
      </c>
      <c r="F217" s="48"/>
      <c r="G217" s="48"/>
      <c r="H217" s="13">
        <f>'Базовые цены с учетом расхода'!E22</f>
        <v>82.16</v>
      </c>
      <c r="I217" s="2">
        <v>2.84625</v>
      </c>
      <c r="J217" s="2">
        <f>'Базовые цены с учетом расхода'!K22</f>
        <v>5.6925</v>
      </c>
      <c r="K217" s="2" t="s">
        <v>33</v>
      </c>
      <c r="L217" s="2" t="s">
        <v>34</v>
      </c>
      <c r="N217" s="48"/>
    </row>
    <row r="218" spans="2:10" ht="10.5">
      <c r="B218" s="47" t="s">
        <v>333</v>
      </c>
      <c r="C218" s="47"/>
      <c r="D218" s="47"/>
      <c r="E218" s="47"/>
      <c r="F218" s="47"/>
      <c r="G218" s="47"/>
      <c r="H218" s="47"/>
      <c r="I218" s="47"/>
      <c r="J218" s="47"/>
    </row>
    <row r="219" spans="2:12" ht="10.5" hidden="1">
      <c r="B219" s="15" t="s">
        <v>35</v>
      </c>
      <c r="C219" s="1">
        <v>130</v>
      </c>
      <c r="F219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447.9</v>
      </c>
      <c r="L219" s="5" t="s">
        <v>36</v>
      </c>
    </row>
    <row r="220" spans="2:12" ht="10.5" hidden="1">
      <c r="B220" s="15" t="s">
        <v>37</v>
      </c>
      <c r="F220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447.9</v>
      </c>
      <c r="L220" s="5" t="s">
        <v>38</v>
      </c>
    </row>
    <row r="221" spans="2:12" ht="10.5" hidden="1">
      <c r="B221" s="15" t="s">
        <v>39</v>
      </c>
      <c r="F221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447.9</v>
      </c>
      <c r="L221" s="5" t="s">
        <v>40</v>
      </c>
    </row>
    <row r="222" spans="2:12" ht="10.5" hidden="1">
      <c r="B222" s="15" t="s">
        <v>41</v>
      </c>
      <c r="C222" s="1">
        <v>76</v>
      </c>
      <c r="F222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261.85</v>
      </c>
      <c r="L222" s="5" t="s">
        <v>42</v>
      </c>
    </row>
    <row r="223" spans="2:12" ht="10.5" hidden="1">
      <c r="B223" s="15" t="s">
        <v>43</v>
      </c>
      <c r="F223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261.85</v>
      </c>
      <c r="L223" s="5" t="s">
        <v>44</v>
      </c>
    </row>
    <row r="224" spans="2:12" ht="10.5" hidden="1">
      <c r="B224" s="15" t="s">
        <v>45</v>
      </c>
      <c r="F224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261.85</v>
      </c>
      <c r="L224" s="5" t="s">
        <v>46</v>
      </c>
    </row>
    <row r="225" spans="1:10" ht="10.5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2:18" ht="10.5">
      <c r="B226" s="9" t="s">
        <v>129</v>
      </c>
      <c r="E226" s="45"/>
      <c r="F226" s="44">
        <f>'Базовые концовки'!F97</f>
        <v>10090.2</v>
      </c>
      <c r="G226" s="44">
        <f>'Базовые концовки'!G97</f>
        <v>1112.72</v>
      </c>
      <c r="H226" s="21">
        <f>'Базовые концовки'!H97</f>
        <v>4320.42</v>
      </c>
      <c r="I226" s="46"/>
      <c r="J226" s="22">
        <f>'Базовые концовки'!J97</f>
        <v>104.98465</v>
      </c>
      <c r="N226" s="44">
        <f>'Базовые концовки'!L97</f>
        <v>4657.06</v>
      </c>
      <c r="R226" s="44">
        <f>'Базовые концовки'!M97</f>
        <v>0</v>
      </c>
    </row>
    <row r="227" spans="5:18" ht="10.5">
      <c r="E227" s="45"/>
      <c r="F227" s="44"/>
      <c r="G227" s="44"/>
      <c r="H227" s="20">
        <f>'Базовые концовки'!I97</f>
        <v>1838.16</v>
      </c>
      <c r="I227" s="46"/>
      <c r="J227" s="8">
        <f>'Базовые концовки'!K97</f>
        <v>136.01913</v>
      </c>
      <c r="N227" s="44"/>
      <c r="R227" s="44"/>
    </row>
    <row r="228" spans="2:18" ht="10.5" hidden="1">
      <c r="B228" s="9" t="s">
        <v>64</v>
      </c>
      <c r="E228" s="19"/>
      <c r="F228" s="20">
        <f>'Базовые концовки'!F98</f>
        <v>0</v>
      </c>
      <c r="G228" s="20">
        <f>'Базовые концовки'!G98</f>
        <v>0</v>
      </c>
      <c r="H228" s="20">
        <f>'Базовые концовки'!H98</f>
        <v>0</v>
      </c>
      <c r="J228" s="8">
        <f>'Базовые концовки'!J98</f>
        <v>0</v>
      </c>
      <c r="N228" s="20">
        <f>'Базовые концовки'!L98</f>
        <v>0</v>
      </c>
      <c r="R228" s="20">
        <f>'Базовые концовки'!M98</f>
        <v>0</v>
      </c>
    </row>
    <row r="229" spans="2:18" ht="10.5" hidden="1">
      <c r="B229" s="9" t="s">
        <v>65</v>
      </c>
      <c r="E229" s="19"/>
      <c r="F229" s="20">
        <f>'Базовые концовки'!F99</f>
        <v>0</v>
      </c>
      <c r="G229" s="20"/>
      <c r="H229" s="20"/>
      <c r="J229" s="8"/>
      <c r="N229" s="20"/>
      <c r="R229" s="20"/>
    </row>
    <row r="230" spans="2:18" ht="10.5" hidden="1">
      <c r="B230" s="9" t="s">
        <v>66</v>
      </c>
      <c r="E230" s="19"/>
      <c r="F230" s="20">
        <f>'Базовые концовки'!F100</f>
        <v>0</v>
      </c>
      <c r="G230" s="20"/>
      <c r="H230" s="20"/>
      <c r="J230" s="8"/>
      <c r="N230" s="20"/>
      <c r="R230" s="20"/>
    </row>
    <row r="231" spans="2:18" ht="10.5" hidden="1">
      <c r="B231" s="9" t="s">
        <v>67</v>
      </c>
      <c r="E231" s="19"/>
      <c r="F231" s="20">
        <f>'Базовые концовки'!F101</f>
        <v>0</v>
      </c>
      <c r="G231" s="20"/>
      <c r="H231" s="20"/>
      <c r="J231" s="8"/>
      <c r="N231" s="20"/>
      <c r="R231" s="20"/>
    </row>
    <row r="232" spans="2:18" ht="10.5" hidden="1">
      <c r="B232" s="9" t="s">
        <v>68</v>
      </c>
      <c r="E232" s="19"/>
      <c r="F232" s="20">
        <f>'Базовые концовки'!F102</f>
        <v>0</v>
      </c>
      <c r="G232" s="20"/>
      <c r="H232" s="20"/>
      <c r="J232" s="8"/>
      <c r="N232" s="20"/>
      <c r="R232" s="20"/>
    </row>
    <row r="233" spans="2:18" ht="10.5" hidden="1">
      <c r="B233" s="9" t="s">
        <v>69</v>
      </c>
      <c r="E233" s="19"/>
      <c r="F233" s="20">
        <f>'Базовые концовки'!F103</f>
        <v>0</v>
      </c>
      <c r="G233" s="20"/>
      <c r="H233" s="20"/>
      <c r="J233" s="8"/>
      <c r="N233" s="20"/>
      <c r="R233" s="20"/>
    </row>
    <row r="234" spans="2:18" ht="10.5" hidden="1">
      <c r="B234" s="9" t="s">
        <v>70</v>
      </c>
      <c r="E234" s="19"/>
      <c r="F234" s="20">
        <f>'Базовые концовки'!F104</f>
        <v>0</v>
      </c>
      <c r="G234" s="20"/>
      <c r="H234" s="20"/>
      <c r="J234" s="8"/>
      <c r="N234" s="20"/>
      <c r="R234" s="20"/>
    </row>
    <row r="235" spans="2:18" ht="10.5" hidden="1">
      <c r="B235" s="9" t="s">
        <v>71</v>
      </c>
      <c r="E235" s="19"/>
      <c r="F235" s="20">
        <f>'Базовые концовки'!F105</f>
        <v>0</v>
      </c>
      <c r="G235" s="20"/>
      <c r="H235" s="20"/>
      <c r="J235" s="8"/>
      <c r="N235" s="20"/>
      <c r="R235" s="20"/>
    </row>
    <row r="236" spans="2:18" ht="10.5" hidden="1">
      <c r="B236" s="9" t="s">
        <v>72</v>
      </c>
      <c r="E236" s="19"/>
      <c r="F236" s="20">
        <f>'Базовые концовки'!F106</f>
        <v>0</v>
      </c>
      <c r="G236" s="20"/>
      <c r="H236" s="20"/>
      <c r="J236" s="8"/>
      <c r="N236" s="20"/>
      <c r="R236" s="20"/>
    </row>
    <row r="237" spans="2:18" ht="10.5" hidden="1">
      <c r="B237" s="9" t="s">
        <v>73</v>
      </c>
      <c r="E237" s="19"/>
      <c r="F237" s="20">
        <f>'Базовые концовки'!F107</f>
        <v>0</v>
      </c>
      <c r="G237" s="20"/>
      <c r="H237" s="20"/>
      <c r="J237" s="8"/>
      <c r="N237" s="20"/>
      <c r="R237" s="20"/>
    </row>
    <row r="238" spans="2:18" ht="10.5" hidden="1">
      <c r="B238" s="9" t="s">
        <v>74</v>
      </c>
      <c r="E238" s="19"/>
      <c r="F238" s="20">
        <f>'Базовые концовки'!F108</f>
        <v>0</v>
      </c>
      <c r="G238" s="20">
        <f>'Базовые концовки'!G108</f>
        <v>0</v>
      </c>
      <c r="H238" s="20">
        <f>'Базовые концовки'!H108</f>
        <v>0</v>
      </c>
      <c r="J238" s="8">
        <f>'Базовые концовки'!J108</f>
        <v>0</v>
      </c>
      <c r="N238" s="20">
        <f>'Базовые концовки'!L108</f>
        <v>0</v>
      </c>
      <c r="R238" s="20">
        <f>'Базовые концовки'!M108</f>
        <v>0</v>
      </c>
    </row>
    <row r="239" spans="2:18" ht="10.5" hidden="1">
      <c r="B239" s="9" t="s">
        <v>75</v>
      </c>
      <c r="E239" s="19"/>
      <c r="F239" s="20"/>
      <c r="G239" s="20"/>
      <c r="H239" s="20"/>
      <c r="J239" s="8"/>
      <c r="N239" s="20"/>
      <c r="R239" s="20"/>
    </row>
    <row r="240" spans="2:18" ht="10.5" hidden="1">
      <c r="B240" s="9" t="s">
        <v>76</v>
      </c>
      <c r="E240" s="19"/>
      <c r="F240" s="20"/>
      <c r="G240" s="20">
        <f>'Базовые концовки'!G110</f>
        <v>0</v>
      </c>
      <c r="H240" s="20"/>
      <c r="J240" s="8"/>
      <c r="N240" s="20"/>
      <c r="R240" s="20"/>
    </row>
    <row r="241" spans="2:18" ht="10.5" hidden="1">
      <c r="B241" s="9" t="s">
        <v>77</v>
      </c>
      <c r="E241" s="19"/>
      <c r="F241" s="20">
        <f>'Базовые концовки'!F111</f>
        <v>0</v>
      </c>
      <c r="G241" s="20"/>
      <c r="H241" s="20"/>
      <c r="J241" s="8"/>
      <c r="N241" s="20"/>
      <c r="R241" s="20"/>
    </row>
    <row r="242" spans="2:18" ht="10.5" hidden="1">
      <c r="B242" s="9" t="s">
        <v>78</v>
      </c>
      <c r="E242" s="19"/>
      <c r="F242" s="20">
        <f>'Базовые концовки'!F112</f>
        <v>0</v>
      </c>
      <c r="G242" s="20"/>
      <c r="H242" s="20"/>
      <c r="J242" s="8"/>
      <c r="N242" s="20"/>
      <c r="R242" s="20"/>
    </row>
    <row r="243" spans="2:18" ht="10.5" hidden="1">
      <c r="B243" s="9" t="s">
        <v>79</v>
      </c>
      <c r="E243" s="19"/>
      <c r="F243" s="20">
        <f>'Базовые концовки'!F113</f>
        <v>0</v>
      </c>
      <c r="G243" s="20"/>
      <c r="H243" s="20"/>
      <c r="J243" s="8"/>
      <c r="N243" s="20"/>
      <c r="R243" s="20"/>
    </row>
    <row r="244" spans="2:18" ht="10.5" hidden="1">
      <c r="B244" s="9" t="s">
        <v>80</v>
      </c>
      <c r="E244" s="19"/>
      <c r="F244" s="20">
        <f>'Базовые концовки'!F114</f>
        <v>0</v>
      </c>
      <c r="G244" s="20"/>
      <c r="H244" s="20"/>
      <c r="J244" s="8"/>
      <c r="N244" s="20"/>
      <c r="R244" s="20"/>
    </row>
    <row r="245" spans="2:18" ht="10.5" hidden="1">
      <c r="B245" s="9" t="s">
        <v>81</v>
      </c>
      <c r="E245" s="19"/>
      <c r="F245" s="20">
        <f>'Базовые концовки'!F115</f>
        <v>0</v>
      </c>
      <c r="G245" s="20"/>
      <c r="H245" s="20"/>
      <c r="J245" s="8"/>
      <c r="N245" s="20"/>
      <c r="R245" s="20"/>
    </row>
    <row r="246" spans="2:18" ht="10.5" hidden="1">
      <c r="B246" s="9" t="s">
        <v>72</v>
      </c>
      <c r="E246" s="19"/>
      <c r="F246" s="20">
        <f>'Базовые концовки'!F116</f>
        <v>0</v>
      </c>
      <c r="G246" s="20"/>
      <c r="H246" s="20"/>
      <c r="J246" s="8"/>
      <c r="N246" s="20"/>
      <c r="R246" s="20"/>
    </row>
    <row r="247" spans="2:18" ht="10.5" hidden="1">
      <c r="B247" s="9" t="s">
        <v>82</v>
      </c>
      <c r="E247" s="19"/>
      <c r="F247" s="20">
        <f>'Базовые концовки'!F117</f>
        <v>0</v>
      </c>
      <c r="G247" s="20"/>
      <c r="H247" s="20"/>
      <c r="J247" s="8"/>
      <c r="N247" s="20"/>
      <c r="R247" s="20"/>
    </row>
    <row r="248" spans="2:18" ht="10.5">
      <c r="B248" s="9" t="s">
        <v>83</v>
      </c>
      <c r="E248" s="45"/>
      <c r="F248" s="44">
        <f>'Базовые концовки'!F118</f>
        <v>10090.2</v>
      </c>
      <c r="G248" s="44">
        <f>'Базовые концовки'!G118</f>
        <v>1112.72</v>
      </c>
      <c r="H248" s="21">
        <f>'Базовые концовки'!H118</f>
        <v>4320.42</v>
      </c>
      <c r="I248" s="46"/>
      <c r="J248" s="22">
        <f>'Базовые концовки'!J118</f>
        <v>104.98465</v>
      </c>
      <c r="N248" s="44">
        <f>'Базовые концовки'!L118</f>
        <v>4657.06</v>
      </c>
      <c r="R248" s="44">
        <f>'Базовые концовки'!M118</f>
        <v>0</v>
      </c>
    </row>
    <row r="249" spans="5:18" ht="10.5">
      <c r="E249" s="45"/>
      <c r="F249" s="44"/>
      <c r="G249" s="44"/>
      <c r="H249" s="20">
        <f>'Базовые концовки'!I118</f>
        <v>1838.16</v>
      </c>
      <c r="I249" s="46"/>
      <c r="J249" s="8">
        <f>'Базовые концовки'!K118</f>
        <v>136.01913</v>
      </c>
      <c r="N249" s="44"/>
      <c r="R249" s="44"/>
    </row>
    <row r="250" spans="2:18" ht="10.5" hidden="1">
      <c r="B250" s="9" t="s">
        <v>75</v>
      </c>
      <c r="E250" s="19"/>
      <c r="F250" s="20"/>
      <c r="G250" s="20"/>
      <c r="H250" s="20"/>
      <c r="J250" s="8"/>
      <c r="N250" s="20"/>
      <c r="R250" s="20"/>
    </row>
    <row r="251" spans="2:18" ht="10.5" hidden="1">
      <c r="B251" s="9" t="s">
        <v>84</v>
      </c>
      <c r="E251" s="19"/>
      <c r="F251" s="20">
        <f>'Базовые концовки'!F120</f>
        <v>0</v>
      </c>
      <c r="G251" s="20"/>
      <c r="H251" s="20"/>
      <c r="J251" s="8"/>
      <c r="N251" s="20"/>
      <c r="R251" s="20"/>
    </row>
    <row r="252" spans="2:18" ht="10.5" hidden="1">
      <c r="B252" s="9" t="s">
        <v>79</v>
      </c>
      <c r="E252" s="19"/>
      <c r="F252" s="20">
        <f>'Базовые концовки'!F121</f>
        <v>0</v>
      </c>
      <c r="G252" s="20"/>
      <c r="H252" s="20"/>
      <c r="J252" s="8"/>
      <c r="N252" s="20"/>
      <c r="R252" s="20"/>
    </row>
    <row r="253" spans="2:18" ht="31.5">
      <c r="B253" s="73" t="s">
        <v>130</v>
      </c>
      <c r="E253" s="19"/>
      <c r="F253" s="20">
        <f>'Базовые концовки'!F122</f>
        <v>2573.67</v>
      </c>
      <c r="G253" s="20"/>
      <c r="H253" s="20"/>
      <c r="J253" s="8"/>
      <c r="N253" s="20"/>
      <c r="R253" s="20"/>
    </row>
    <row r="254" spans="2:18" ht="31.5">
      <c r="B254" s="73" t="s">
        <v>131</v>
      </c>
      <c r="E254" s="19"/>
      <c r="F254" s="20">
        <f>'Базовые концовки'!F123</f>
        <v>1411</v>
      </c>
      <c r="G254" s="20"/>
      <c r="H254" s="20"/>
      <c r="J254" s="8"/>
      <c r="N254" s="20"/>
      <c r="R254" s="20"/>
    </row>
    <row r="255" spans="2:18" ht="10.5">
      <c r="B255" s="9" t="s">
        <v>87</v>
      </c>
      <c r="E255" s="19"/>
      <c r="F255" s="20">
        <f>'Базовые концовки'!F124</f>
        <v>14074.87</v>
      </c>
      <c r="G255" s="20"/>
      <c r="H255" s="20"/>
      <c r="J255" s="8"/>
      <c r="N255" s="20"/>
      <c r="R255" s="20"/>
    </row>
    <row r="256" spans="2:18" ht="10.5" hidden="1">
      <c r="B256" s="9" t="s">
        <v>88</v>
      </c>
      <c r="E256" s="19"/>
      <c r="F256" s="20">
        <f>'Базовые концовки'!F125</f>
        <v>0</v>
      </c>
      <c r="G256" s="20">
        <f>'Базовые концовки'!G125</f>
        <v>0</v>
      </c>
      <c r="H256" s="20">
        <f>'Базовые концовки'!H125</f>
        <v>0</v>
      </c>
      <c r="J256" s="8">
        <f>'Базовые концовки'!J125</f>
        <v>0</v>
      </c>
      <c r="N256" s="20">
        <f>'Базовые концовки'!L125</f>
        <v>0</v>
      </c>
      <c r="R256" s="20">
        <f>'Базовые концовки'!M125</f>
        <v>0</v>
      </c>
    </row>
    <row r="257" spans="2:18" ht="10.5" hidden="1">
      <c r="B257" s="9" t="s">
        <v>79</v>
      </c>
      <c r="E257" s="19"/>
      <c r="F257" s="20">
        <f>'Базовые концовки'!F126</f>
        <v>0</v>
      </c>
      <c r="G257" s="20"/>
      <c r="H257" s="20"/>
      <c r="J257" s="8"/>
      <c r="N257" s="20"/>
      <c r="R257" s="20"/>
    </row>
    <row r="258" spans="2:18" ht="10.5" hidden="1">
      <c r="B258" s="9" t="s">
        <v>80</v>
      </c>
      <c r="E258" s="19"/>
      <c r="F258" s="20">
        <f>'Базовые концовки'!F127</f>
        <v>0</v>
      </c>
      <c r="G258" s="20"/>
      <c r="H258" s="20"/>
      <c r="J258" s="8"/>
      <c r="N258" s="20"/>
      <c r="R258" s="20"/>
    </row>
    <row r="259" spans="2:18" ht="10.5" hidden="1">
      <c r="B259" s="9" t="s">
        <v>81</v>
      </c>
      <c r="E259" s="19"/>
      <c r="F259" s="20">
        <f>'Базовые концовки'!F128</f>
        <v>0</v>
      </c>
      <c r="G259" s="20"/>
      <c r="H259" s="20"/>
      <c r="J259" s="8"/>
      <c r="N259" s="20"/>
      <c r="R259" s="20"/>
    </row>
    <row r="260" spans="2:18" ht="10.5" hidden="1">
      <c r="B260" s="9" t="s">
        <v>89</v>
      </c>
      <c r="E260" s="19"/>
      <c r="F260" s="20">
        <f>'Базовые концовки'!F129</f>
        <v>0</v>
      </c>
      <c r="G260" s="20"/>
      <c r="H260" s="20"/>
      <c r="J260" s="8"/>
      <c r="N260" s="20"/>
      <c r="R260" s="20"/>
    </row>
    <row r="261" spans="2:18" ht="10.5" hidden="1">
      <c r="B261" s="9" t="s">
        <v>90</v>
      </c>
      <c r="E261" s="19"/>
      <c r="F261" s="20">
        <f>'Базовые концовки'!F130</f>
        <v>0</v>
      </c>
      <c r="G261" s="20">
        <f>'Базовые концовки'!G130</f>
        <v>0</v>
      </c>
      <c r="H261" s="20">
        <f>'Базовые концовки'!H130</f>
        <v>0</v>
      </c>
      <c r="J261" s="8">
        <f>'Базовые концовки'!J130</f>
        <v>0</v>
      </c>
      <c r="N261" s="20">
        <f>'Базовые концовки'!L130</f>
        <v>0</v>
      </c>
      <c r="R261" s="20">
        <f>'Базовые концовки'!M130</f>
        <v>0</v>
      </c>
    </row>
    <row r="262" spans="2:18" ht="10.5" hidden="1">
      <c r="B262" s="9" t="s">
        <v>75</v>
      </c>
      <c r="E262" s="19"/>
      <c r="F262" s="20"/>
      <c r="G262" s="20"/>
      <c r="H262" s="20"/>
      <c r="J262" s="8"/>
      <c r="N262" s="20"/>
      <c r="R262" s="20"/>
    </row>
    <row r="263" spans="2:18" ht="10.5" hidden="1">
      <c r="B263" s="9" t="s">
        <v>91</v>
      </c>
      <c r="E263" s="19"/>
      <c r="F263" s="20">
        <f>'Базовые концовки'!F132</f>
        <v>0</v>
      </c>
      <c r="G263" s="20"/>
      <c r="H263" s="20"/>
      <c r="J263" s="8"/>
      <c r="N263" s="20"/>
      <c r="R263" s="20"/>
    </row>
    <row r="264" spans="2:18" ht="10.5" hidden="1">
      <c r="B264" s="9" t="s">
        <v>79</v>
      </c>
      <c r="E264" s="19"/>
      <c r="F264" s="20">
        <f>'Базовые концовки'!F133</f>
        <v>0</v>
      </c>
      <c r="G264" s="20"/>
      <c r="H264" s="20"/>
      <c r="J264" s="8"/>
      <c r="N264" s="20"/>
      <c r="R264" s="20"/>
    </row>
    <row r="265" spans="2:18" ht="10.5" hidden="1">
      <c r="B265" s="9" t="s">
        <v>80</v>
      </c>
      <c r="E265" s="19"/>
      <c r="F265" s="20">
        <f>'Базовые концовки'!F134</f>
        <v>0</v>
      </c>
      <c r="G265" s="20"/>
      <c r="H265" s="20"/>
      <c r="J265" s="8"/>
      <c r="N265" s="20"/>
      <c r="R265" s="20"/>
    </row>
    <row r="266" spans="2:18" ht="10.5" hidden="1">
      <c r="B266" s="9" t="s">
        <v>81</v>
      </c>
      <c r="E266" s="19"/>
      <c r="F266" s="20">
        <f>'Базовые концовки'!F135</f>
        <v>0</v>
      </c>
      <c r="G266" s="20"/>
      <c r="H266" s="20"/>
      <c r="J266" s="8"/>
      <c r="N266" s="20"/>
      <c r="R266" s="20"/>
    </row>
    <row r="267" spans="2:18" ht="10.5" hidden="1">
      <c r="B267" s="9" t="s">
        <v>72</v>
      </c>
      <c r="E267" s="19"/>
      <c r="F267" s="20">
        <f>'Базовые концовки'!F136</f>
        <v>0</v>
      </c>
      <c r="G267" s="20"/>
      <c r="H267" s="20"/>
      <c r="J267" s="8"/>
      <c r="N267" s="20"/>
      <c r="R267" s="20"/>
    </row>
    <row r="268" spans="2:18" ht="10.5" hidden="1">
      <c r="B268" s="9" t="s">
        <v>92</v>
      </c>
      <c r="E268" s="19"/>
      <c r="F268" s="20">
        <f>'Базовые концовки'!F137</f>
        <v>0</v>
      </c>
      <c r="G268" s="20"/>
      <c r="H268" s="20"/>
      <c r="J268" s="8"/>
      <c r="N268" s="20"/>
      <c r="R268" s="20"/>
    </row>
    <row r="269" spans="2:18" ht="10.5" hidden="1">
      <c r="B269" s="9" t="s">
        <v>93</v>
      </c>
      <c r="E269" s="19"/>
      <c r="F269" s="20">
        <f>'Базовые концовки'!F138</f>
        <v>0</v>
      </c>
      <c r="G269" s="20">
        <f>'Базовые концовки'!G138</f>
        <v>0</v>
      </c>
      <c r="H269" s="20">
        <f>'Базовые концовки'!H138</f>
        <v>0</v>
      </c>
      <c r="J269" s="8">
        <f>'Базовые концовки'!J138</f>
        <v>0</v>
      </c>
      <c r="N269" s="20">
        <f>'Базовые концовки'!L138</f>
        <v>0</v>
      </c>
      <c r="R269" s="20">
        <f>'Базовые концовки'!M138</f>
        <v>0</v>
      </c>
    </row>
    <row r="270" spans="2:18" ht="10.5" hidden="1">
      <c r="B270" s="9" t="s">
        <v>79</v>
      </c>
      <c r="E270" s="19"/>
      <c r="F270" s="20">
        <f>'Базовые концовки'!F139</f>
        <v>0</v>
      </c>
      <c r="G270" s="20"/>
      <c r="H270" s="20"/>
      <c r="J270" s="8"/>
      <c r="N270" s="20"/>
      <c r="R270" s="20"/>
    </row>
    <row r="271" spans="2:18" ht="10.5" hidden="1">
      <c r="B271" s="9" t="s">
        <v>80</v>
      </c>
      <c r="E271" s="19"/>
      <c r="F271" s="20">
        <f>'Базовые концовки'!F140</f>
        <v>0</v>
      </c>
      <c r="G271" s="20"/>
      <c r="H271" s="20"/>
      <c r="J271" s="8"/>
      <c r="N271" s="20"/>
      <c r="R271" s="20"/>
    </row>
    <row r="272" spans="2:18" ht="10.5" hidden="1">
      <c r="B272" s="9" t="s">
        <v>81</v>
      </c>
      <c r="E272" s="19"/>
      <c r="F272" s="20">
        <f>'Базовые концовки'!F141</f>
        <v>0</v>
      </c>
      <c r="G272" s="20"/>
      <c r="H272" s="20"/>
      <c r="J272" s="8"/>
      <c r="N272" s="20"/>
      <c r="R272" s="20"/>
    </row>
    <row r="273" spans="2:18" ht="10.5" hidden="1">
      <c r="B273" s="9" t="s">
        <v>94</v>
      </c>
      <c r="E273" s="19"/>
      <c r="F273" s="20">
        <f>'Базовые концовки'!F142</f>
        <v>0</v>
      </c>
      <c r="G273" s="20"/>
      <c r="H273" s="20"/>
      <c r="J273" s="8"/>
      <c r="N273" s="20"/>
      <c r="R273" s="20"/>
    </row>
    <row r="274" spans="2:18" ht="10.5" hidden="1">
      <c r="B274" s="9" t="s">
        <v>95</v>
      </c>
      <c r="E274" s="19"/>
      <c r="F274" s="20">
        <f>'Базовые концовки'!F143</f>
        <v>0</v>
      </c>
      <c r="G274" s="20">
        <f>'Базовые концовки'!G143</f>
        <v>0</v>
      </c>
      <c r="H274" s="20">
        <f>'Базовые концовки'!H143</f>
        <v>0</v>
      </c>
      <c r="J274" s="8">
        <f>'Базовые концовки'!J143</f>
        <v>0</v>
      </c>
      <c r="N274" s="20">
        <f>'Базовые концовки'!L143</f>
        <v>0</v>
      </c>
      <c r="R274" s="20">
        <f>'Базовые концовки'!M143</f>
        <v>0</v>
      </c>
    </row>
    <row r="275" spans="2:18" ht="10.5" hidden="1">
      <c r="B275" s="9" t="s">
        <v>79</v>
      </c>
      <c r="E275" s="19"/>
      <c r="F275" s="20">
        <f>'Базовые концовки'!F144</f>
        <v>0</v>
      </c>
      <c r="G275" s="20"/>
      <c r="H275" s="20"/>
      <c r="J275" s="8"/>
      <c r="N275" s="20"/>
      <c r="R275" s="20"/>
    </row>
    <row r="276" spans="2:18" ht="10.5" hidden="1">
      <c r="B276" s="9" t="s">
        <v>80</v>
      </c>
      <c r="E276" s="19"/>
      <c r="F276" s="20">
        <f>'Базовые концовки'!F145</f>
        <v>0</v>
      </c>
      <c r="G276" s="20"/>
      <c r="H276" s="20"/>
      <c r="J276" s="8"/>
      <c r="N276" s="20"/>
      <c r="R276" s="20"/>
    </row>
    <row r="277" spans="2:18" ht="10.5" hidden="1">
      <c r="B277" s="9" t="s">
        <v>81</v>
      </c>
      <c r="E277" s="19"/>
      <c r="F277" s="20">
        <f>'Базовые концовки'!F146</f>
        <v>0</v>
      </c>
      <c r="G277" s="20"/>
      <c r="H277" s="20"/>
      <c r="J277" s="8"/>
      <c r="N277" s="20"/>
      <c r="R277" s="20"/>
    </row>
    <row r="278" spans="2:18" ht="10.5" hidden="1">
      <c r="B278" s="9" t="s">
        <v>96</v>
      </c>
      <c r="E278" s="19"/>
      <c r="F278" s="20">
        <f>'Базовые концовки'!F147</f>
        <v>0</v>
      </c>
      <c r="G278" s="20"/>
      <c r="H278" s="20"/>
      <c r="J278" s="8"/>
      <c r="N278" s="20"/>
      <c r="R278" s="20"/>
    </row>
    <row r="279" spans="2:18" ht="10.5" hidden="1">
      <c r="B279" s="9" t="s">
        <v>97</v>
      </c>
      <c r="E279" s="19"/>
      <c r="F279" s="20">
        <f>'Базовые концовки'!F148</f>
        <v>0</v>
      </c>
      <c r="G279" s="20">
        <f>'Базовые концовки'!G148</f>
        <v>0</v>
      </c>
      <c r="H279" s="20">
        <f>'Базовые концовки'!H148</f>
        <v>0</v>
      </c>
      <c r="J279" s="8">
        <f>'Базовые концовки'!J148</f>
        <v>0</v>
      </c>
      <c r="N279" s="20">
        <f>'Базовые концовки'!L148</f>
        <v>0</v>
      </c>
      <c r="R279" s="20">
        <f>'Базовые концовки'!M148</f>
        <v>0</v>
      </c>
    </row>
    <row r="280" spans="2:18" ht="10.5" hidden="1">
      <c r="B280" s="9" t="s">
        <v>75</v>
      </c>
      <c r="E280" s="19"/>
      <c r="F280" s="20"/>
      <c r="G280" s="20"/>
      <c r="H280" s="20"/>
      <c r="J280" s="8"/>
      <c r="N280" s="20"/>
      <c r="R280" s="20"/>
    </row>
    <row r="281" spans="2:18" ht="10.5" hidden="1">
      <c r="B281" s="9" t="s">
        <v>98</v>
      </c>
      <c r="E281" s="19"/>
      <c r="F281" s="20">
        <f>'Базовые концовки'!F150</f>
        <v>0</v>
      </c>
      <c r="G281" s="20"/>
      <c r="H281" s="20"/>
      <c r="J281" s="8"/>
      <c r="N281" s="20"/>
      <c r="R281" s="20"/>
    </row>
    <row r="282" spans="2:18" ht="10.5" hidden="1">
      <c r="B282" s="9" t="s">
        <v>79</v>
      </c>
      <c r="E282" s="19"/>
      <c r="F282" s="20">
        <f>'Базовые концовки'!F151</f>
        <v>0</v>
      </c>
      <c r="G282" s="20"/>
      <c r="H282" s="20"/>
      <c r="J282" s="8"/>
      <c r="N282" s="20"/>
      <c r="R282" s="20"/>
    </row>
    <row r="283" spans="2:18" ht="10.5" hidden="1">
      <c r="B283" s="9" t="s">
        <v>99</v>
      </c>
      <c r="E283" s="19"/>
      <c r="F283" s="20">
        <f>'Базовые концовки'!F152</f>
        <v>0</v>
      </c>
      <c r="G283" s="20"/>
      <c r="H283" s="20"/>
      <c r="J283" s="8"/>
      <c r="N283" s="20"/>
      <c r="R283" s="20"/>
    </row>
    <row r="284" spans="2:18" ht="10.5" hidden="1">
      <c r="B284" s="9" t="s">
        <v>81</v>
      </c>
      <c r="E284" s="19"/>
      <c r="F284" s="20">
        <f>'Базовые концовки'!F153</f>
        <v>0</v>
      </c>
      <c r="G284" s="20"/>
      <c r="H284" s="20"/>
      <c r="J284" s="8"/>
      <c r="N284" s="20"/>
      <c r="R284" s="20"/>
    </row>
    <row r="285" spans="2:18" ht="10.5" hidden="1">
      <c r="B285" s="9" t="s">
        <v>100</v>
      </c>
      <c r="E285" s="19"/>
      <c r="F285" s="20">
        <f>'Базовые концовки'!F154</f>
        <v>0</v>
      </c>
      <c r="G285" s="20"/>
      <c r="H285" s="20"/>
      <c r="J285" s="8"/>
      <c r="N285" s="20"/>
      <c r="R285" s="20"/>
    </row>
    <row r="286" spans="2:18" ht="10.5" hidden="1">
      <c r="B286" s="9" t="s">
        <v>101</v>
      </c>
      <c r="E286" s="19"/>
      <c r="F286" s="20">
        <f>'Базовые концовки'!F155</f>
        <v>0</v>
      </c>
      <c r="G286" s="20">
        <f>'Базовые концовки'!G155</f>
        <v>0</v>
      </c>
      <c r="H286" s="20">
        <f>'Базовые концовки'!H155</f>
        <v>0</v>
      </c>
      <c r="J286" s="8">
        <f>'Базовые концовки'!J155</f>
        <v>0</v>
      </c>
      <c r="N286" s="20">
        <f>'Базовые концовки'!L155</f>
        <v>0</v>
      </c>
      <c r="R286" s="20">
        <f>'Базовые концовки'!M155</f>
        <v>0</v>
      </c>
    </row>
    <row r="287" spans="2:18" ht="10.5" hidden="1">
      <c r="B287" s="9" t="s">
        <v>99</v>
      </c>
      <c r="E287" s="19"/>
      <c r="F287" s="20">
        <f>'Базовые концовки'!F156</f>
        <v>0</v>
      </c>
      <c r="G287" s="20"/>
      <c r="H287" s="20"/>
      <c r="J287" s="8"/>
      <c r="N287" s="20"/>
      <c r="R287" s="20"/>
    </row>
    <row r="288" spans="2:18" ht="10.5" hidden="1">
      <c r="B288" s="9" t="s">
        <v>81</v>
      </c>
      <c r="E288" s="19"/>
      <c r="F288" s="20">
        <f>'Базовые концовки'!F157</f>
        <v>0</v>
      </c>
      <c r="G288" s="20"/>
      <c r="H288" s="20"/>
      <c r="J288" s="8"/>
      <c r="N288" s="20"/>
      <c r="R288" s="20"/>
    </row>
    <row r="289" spans="2:18" ht="10.5" hidden="1">
      <c r="B289" s="9" t="s">
        <v>102</v>
      </c>
      <c r="E289" s="19"/>
      <c r="F289" s="20">
        <f>'Базовые концовки'!F158</f>
        <v>0</v>
      </c>
      <c r="G289" s="20"/>
      <c r="H289" s="20"/>
      <c r="J289" s="8"/>
      <c r="N289" s="20"/>
      <c r="R289" s="20"/>
    </row>
    <row r="290" spans="2:18" ht="10.5" hidden="1">
      <c r="B290" s="9" t="s">
        <v>103</v>
      </c>
      <c r="E290" s="19"/>
      <c r="F290" s="20">
        <f>'Базовые концовки'!F159</f>
        <v>0</v>
      </c>
      <c r="G290" s="20">
        <f>'Базовые концовки'!G159</f>
        <v>0</v>
      </c>
      <c r="H290" s="20">
        <f>'Базовые концовки'!H159</f>
        <v>0</v>
      </c>
      <c r="J290" s="8">
        <f>'Базовые концовки'!J159</f>
        <v>0</v>
      </c>
      <c r="N290" s="20">
        <f>'Базовые концовки'!L159</f>
        <v>0</v>
      </c>
      <c r="R290" s="20">
        <f>'Базовые концовки'!M159</f>
        <v>0</v>
      </c>
    </row>
    <row r="291" spans="2:18" ht="10.5" hidden="1">
      <c r="B291" s="9" t="s">
        <v>79</v>
      </c>
      <c r="E291" s="19"/>
      <c r="F291" s="20">
        <f>'Базовые концовки'!F160</f>
        <v>0</v>
      </c>
      <c r="G291" s="20"/>
      <c r="H291" s="20"/>
      <c r="J291" s="8"/>
      <c r="N291" s="20"/>
      <c r="R291" s="20"/>
    </row>
    <row r="292" spans="2:18" ht="10.5" hidden="1">
      <c r="B292" s="9" t="s">
        <v>99</v>
      </c>
      <c r="E292" s="19"/>
      <c r="F292" s="20">
        <f>'Базовые концовки'!F161</f>
        <v>0</v>
      </c>
      <c r="G292" s="20"/>
      <c r="H292" s="20"/>
      <c r="J292" s="8"/>
      <c r="N292" s="20"/>
      <c r="R292" s="20"/>
    </row>
    <row r="293" spans="2:18" ht="10.5" hidden="1">
      <c r="B293" s="9" t="s">
        <v>81</v>
      </c>
      <c r="E293" s="19"/>
      <c r="F293" s="20">
        <f>'Базовые концовки'!F162</f>
        <v>0</v>
      </c>
      <c r="G293" s="20"/>
      <c r="H293" s="20"/>
      <c r="J293" s="8"/>
      <c r="N293" s="20"/>
      <c r="R293" s="20"/>
    </row>
    <row r="294" spans="2:18" ht="10.5" hidden="1">
      <c r="B294" s="9" t="s">
        <v>104</v>
      </c>
      <c r="E294" s="19"/>
      <c r="F294" s="20">
        <f>'Базовые концовки'!F163</f>
        <v>0</v>
      </c>
      <c r="G294" s="20"/>
      <c r="H294" s="20"/>
      <c r="J294" s="8"/>
      <c r="N294" s="20"/>
      <c r="R294" s="20"/>
    </row>
    <row r="295" spans="2:18" ht="10.5" hidden="1">
      <c r="B295" s="9" t="s">
        <v>105</v>
      </c>
      <c r="E295" s="19"/>
      <c r="F295" s="20">
        <f>'Базовые концовки'!F164</f>
        <v>0</v>
      </c>
      <c r="G295" s="20">
        <f>'Базовые концовки'!G164</f>
        <v>0</v>
      </c>
      <c r="H295" s="20">
        <f>'Базовые концовки'!H164</f>
        <v>0</v>
      </c>
      <c r="J295" s="8">
        <f>'Базовые концовки'!J164</f>
        <v>0</v>
      </c>
      <c r="N295" s="20">
        <f>'Базовые концовки'!L164</f>
        <v>0</v>
      </c>
      <c r="R295" s="20">
        <f>'Базовые концовки'!M164</f>
        <v>0</v>
      </c>
    </row>
    <row r="296" spans="2:18" ht="10.5" hidden="1">
      <c r="B296" s="9" t="s">
        <v>79</v>
      </c>
      <c r="E296" s="19"/>
      <c r="F296" s="20">
        <f>'Базовые концовки'!F165</f>
        <v>0</v>
      </c>
      <c r="G296" s="20"/>
      <c r="H296" s="20"/>
      <c r="J296" s="8"/>
      <c r="N296" s="20"/>
      <c r="R296" s="20"/>
    </row>
    <row r="297" spans="2:18" ht="10.5">
      <c r="B297" s="9" t="s">
        <v>132</v>
      </c>
      <c r="E297" s="19"/>
      <c r="F297" s="20">
        <f>'Базовые концовки'!F166</f>
        <v>14074.87</v>
      </c>
      <c r="G297" s="20">
        <f>'Базовые концовки'!G166</f>
        <v>0</v>
      </c>
      <c r="H297" s="20">
        <f>'Базовые концовки'!H166</f>
        <v>0</v>
      </c>
      <c r="J297" s="8">
        <f>'Базовые концовки'!J166</f>
        <v>0</v>
      </c>
      <c r="N297" s="20">
        <f>'Базовые концовки'!L166</f>
        <v>0</v>
      </c>
      <c r="R297" s="20">
        <f>'Базовые концовки'!M166</f>
        <v>0</v>
      </c>
    </row>
    <row r="298" spans="2:18" ht="10.5" hidden="1">
      <c r="B298" s="9" t="s">
        <v>107</v>
      </c>
      <c r="E298" s="19"/>
      <c r="F298" s="20">
        <f>'Базовые концовки'!F167</f>
        <v>0</v>
      </c>
      <c r="G298" s="20"/>
      <c r="H298" s="20"/>
      <c r="J298" s="8"/>
      <c r="N298" s="20"/>
      <c r="R298" s="20"/>
    </row>
    <row r="299" spans="2:18" ht="10.5">
      <c r="B299" s="9" t="s">
        <v>108</v>
      </c>
      <c r="E299" s="19"/>
      <c r="F299" s="20">
        <f>'Базовые концовки'!F168</f>
        <v>2573.67</v>
      </c>
      <c r="G299" s="20"/>
      <c r="H299" s="20"/>
      <c r="J299" s="8"/>
      <c r="N299" s="20"/>
      <c r="R299" s="20"/>
    </row>
    <row r="300" spans="2:18" ht="10.5">
      <c r="B300" s="9" t="s">
        <v>109</v>
      </c>
      <c r="E300" s="19"/>
      <c r="F300" s="20">
        <f>'Базовые концовки'!F169</f>
        <v>1411</v>
      </c>
      <c r="G300" s="20"/>
      <c r="H300" s="20"/>
      <c r="J300" s="8"/>
      <c r="N300" s="20"/>
      <c r="R300" s="20"/>
    </row>
    <row r="301" spans="2:18" ht="10.5">
      <c r="B301" s="9" t="s">
        <v>133</v>
      </c>
      <c r="E301" s="19">
        <v>3.95</v>
      </c>
      <c r="F301" s="20">
        <f>F297*E301</f>
        <v>55595.736500000006</v>
      </c>
      <c r="G301" s="20"/>
      <c r="H301" s="20"/>
      <c r="J301" s="8"/>
      <c r="N301" s="20"/>
      <c r="R301" s="20"/>
    </row>
    <row r="302" spans="2:18" ht="10.5">
      <c r="B302" s="9" t="s">
        <v>111</v>
      </c>
      <c r="E302" s="19">
        <v>18</v>
      </c>
      <c r="F302" s="20">
        <f>F301*0.18</f>
        <v>10007.23257</v>
      </c>
      <c r="G302" s="20"/>
      <c r="H302" s="20"/>
      <c r="J302" s="8"/>
      <c r="N302" s="20"/>
      <c r="R302" s="20"/>
    </row>
    <row r="303" spans="2:18" ht="10.5">
      <c r="B303" s="9" t="s">
        <v>112</v>
      </c>
      <c r="E303" s="19"/>
      <c r="F303" s="20">
        <f>F301+F302</f>
        <v>65602.96907</v>
      </c>
      <c r="G303" s="20"/>
      <c r="H303" s="20"/>
      <c r="J303" s="8"/>
      <c r="N303" s="20"/>
      <c r="R303" s="20"/>
    </row>
    <row r="304" spans="2:18" ht="10.5" hidden="1">
      <c r="B304" s="9" t="s">
        <v>113</v>
      </c>
      <c r="E304" s="19"/>
      <c r="F304" s="20"/>
      <c r="G304" s="20"/>
      <c r="H304" s="20"/>
      <c r="J304" s="8"/>
      <c r="N304" s="20">
        <f>'Базовые концовки'!L173</f>
        <v>0</v>
      </c>
      <c r="R304" s="20"/>
    </row>
    <row r="305" spans="2:18" ht="10.5" hidden="1">
      <c r="B305" s="9" t="s">
        <v>114</v>
      </c>
      <c r="E305" s="19"/>
      <c r="F305" s="20">
        <f>'Базовые концовки'!F174</f>
        <v>1112.72</v>
      </c>
      <c r="G305" s="20"/>
      <c r="H305" s="20"/>
      <c r="J305" s="8"/>
      <c r="N305" s="20"/>
      <c r="R305" s="20"/>
    </row>
    <row r="306" spans="2:18" ht="10.5" hidden="1">
      <c r="B306" s="9" t="s">
        <v>115</v>
      </c>
      <c r="E306" s="19"/>
      <c r="F306" s="20">
        <f>'Базовые концовки'!F175</f>
        <v>1838.16</v>
      </c>
      <c r="G306" s="20"/>
      <c r="H306" s="20"/>
      <c r="J306" s="8"/>
      <c r="N306" s="20"/>
      <c r="R306" s="20"/>
    </row>
    <row r="307" spans="2:18" ht="10.5" hidden="1">
      <c r="B307" s="9" t="s">
        <v>116</v>
      </c>
      <c r="E307" s="19"/>
      <c r="F307" s="20">
        <f>'Базовые концовки'!F176</f>
        <v>2950.88</v>
      </c>
      <c r="G307" s="20"/>
      <c r="H307" s="20"/>
      <c r="J307" s="8"/>
      <c r="N307" s="20"/>
      <c r="R307" s="20"/>
    </row>
    <row r="308" spans="2:18" ht="10.5" hidden="1">
      <c r="B308" s="9" t="s">
        <v>117</v>
      </c>
      <c r="E308" s="19"/>
      <c r="F308" s="20"/>
      <c r="G308" s="20"/>
      <c r="H308" s="20"/>
      <c r="J308" s="8">
        <f>'Базовые концовки'!J177</f>
        <v>104.98465</v>
      </c>
      <c r="N308" s="20"/>
      <c r="R308" s="20"/>
    </row>
    <row r="309" spans="2:18" ht="10.5" hidden="1">
      <c r="B309" s="9" t="s">
        <v>118</v>
      </c>
      <c r="E309" s="19"/>
      <c r="F309" s="20"/>
      <c r="G309" s="20"/>
      <c r="H309" s="20"/>
      <c r="J309" s="8">
        <f>'Базовые концовки'!J178</f>
        <v>136.01913</v>
      </c>
      <c r="N309" s="20"/>
      <c r="R309" s="20"/>
    </row>
    <row r="310" spans="2:18" ht="10.5" hidden="1">
      <c r="B310" s="9" t="s">
        <v>119</v>
      </c>
      <c r="E310" s="19"/>
      <c r="F310" s="20"/>
      <c r="G310" s="20"/>
      <c r="H310" s="20"/>
      <c r="J310" s="8">
        <f>'Базовые концовки'!J179</f>
        <v>241.00378</v>
      </c>
      <c r="N310" s="20"/>
      <c r="R310" s="20"/>
    </row>
    <row r="312" spans="2:18" ht="10.5">
      <c r="B312" s="9" t="s">
        <v>134</v>
      </c>
      <c r="E312" s="45"/>
      <c r="F312" s="44">
        <f>'Базовые концовки'!F181</f>
        <v>17851.66</v>
      </c>
      <c r="G312" s="44">
        <f>'Базовые концовки'!G181</f>
        <v>1176.53</v>
      </c>
      <c r="H312" s="21">
        <f>'Базовые концовки'!H181</f>
        <v>5265.19</v>
      </c>
      <c r="I312" s="46"/>
      <c r="J312" s="22">
        <f>'Базовые концовки'!J181</f>
        <v>110.7401695</v>
      </c>
      <c r="N312" s="44">
        <f>'Базовые концовки'!L181</f>
        <v>11409.94</v>
      </c>
      <c r="R312" s="44">
        <f>'Базовые концовки'!M181</f>
        <v>0</v>
      </c>
    </row>
    <row r="313" spans="5:18" ht="10.5">
      <c r="E313" s="45"/>
      <c r="F313" s="44"/>
      <c r="G313" s="44"/>
      <c r="H313" s="20">
        <f>'Базовые концовки'!I181</f>
        <v>1914.5</v>
      </c>
      <c r="I313" s="46"/>
      <c r="J313" s="8">
        <f>'Базовые концовки'!K181</f>
        <v>140.936531</v>
      </c>
      <c r="N313" s="44"/>
      <c r="R313" s="44"/>
    </row>
    <row r="314" spans="2:18" ht="10.5" hidden="1">
      <c r="B314" s="9" t="s">
        <v>64</v>
      </c>
      <c r="E314" s="19"/>
      <c r="F314" s="20">
        <f>'Базовые концовки'!F182</f>
        <v>0</v>
      </c>
      <c r="G314" s="20">
        <f>'Базовые концовки'!G182</f>
        <v>0</v>
      </c>
      <c r="H314" s="20">
        <f>'Базовые концовки'!H182</f>
        <v>0</v>
      </c>
      <c r="J314" s="8">
        <f>'Базовые концовки'!J182</f>
        <v>0</v>
      </c>
      <c r="N314" s="20">
        <f>'Базовые концовки'!L182</f>
        <v>0</v>
      </c>
      <c r="R314" s="20">
        <f>'Базовые концовки'!M182</f>
        <v>0</v>
      </c>
    </row>
    <row r="315" spans="2:18" ht="10.5" hidden="1">
      <c r="B315" s="9" t="s">
        <v>65</v>
      </c>
      <c r="E315" s="19"/>
      <c r="F315" s="20">
        <f>'Базовые концовки'!F183</f>
        <v>0</v>
      </c>
      <c r="G315" s="20"/>
      <c r="H315" s="20"/>
      <c r="J315" s="8"/>
      <c r="N315" s="20"/>
      <c r="R315" s="20"/>
    </row>
    <row r="316" spans="2:18" ht="10.5" hidden="1">
      <c r="B316" s="9" t="s">
        <v>66</v>
      </c>
      <c r="E316" s="19"/>
      <c r="F316" s="20">
        <f>'Базовые концовки'!F184</f>
        <v>0</v>
      </c>
      <c r="G316" s="20"/>
      <c r="H316" s="20"/>
      <c r="J316" s="8"/>
      <c r="N316" s="20"/>
      <c r="R316" s="20"/>
    </row>
    <row r="317" spans="2:18" ht="10.5" hidden="1">
      <c r="B317" s="9" t="s">
        <v>67</v>
      </c>
      <c r="E317" s="19"/>
      <c r="F317" s="20">
        <f>'Базовые концовки'!F185</f>
        <v>0</v>
      </c>
      <c r="G317" s="20"/>
      <c r="H317" s="20"/>
      <c r="J317" s="8"/>
      <c r="N317" s="20"/>
      <c r="R317" s="20"/>
    </row>
    <row r="318" spans="2:18" ht="10.5" hidden="1">
      <c r="B318" s="9" t="s">
        <v>68</v>
      </c>
      <c r="E318" s="19"/>
      <c r="F318" s="20">
        <f>'Базовые концовки'!F186</f>
        <v>0</v>
      </c>
      <c r="G318" s="20"/>
      <c r="H318" s="20"/>
      <c r="J318" s="8"/>
      <c r="N318" s="20"/>
      <c r="R318" s="20"/>
    </row>
    <row r="319" spans="2:18" ht="10.5" hidden="1">
      <c r="B319" s="9" t="s">
        <v>69</v>
      </c>
      <c r="E319" s="19"/>
      <c r="F319" s="20">
        <f>'Базовые концовки'!F187</f>
        <v>0</v>
      </c>
      <c r="G319" s="20"/>
      <c r="H319" s="20"/>
      <c r="J319" s="8"/>
      <c r="N319" s="20"/>
      <c r="R319" s="20"/>
    </row>
    <row r="320" spans="2:18" ht="10.5" hidden="1">
      <c r="B320" s="9" t="s">
        <v>70</v>
      </c>
      <c r="E320" s="19"/>
      <c r="F320" s="20">
        <f>'Базовые концовки'!F188</f>
        <v>0</v>
      </c>
      <c r="G320" s="20"/>
      <c r="H320" s="20"/>
      <c r="J320" s="8"/>
      <c r="N320" s="20"/>
      <c r="R320" s="20"/>
    </row>
    <row r="321" spans="2:18" ht="10.5" hidden="1">
      <c r="B321" s="9" t="s">
        <v>71</v>
      </c>
      <c r="E321" s="19"/>
      <c r="F321" s="20">
        <f>'Базовые концовки'!F189</f>
        <v>0</v>
      </c>
      <c r="G321" s="20"/>
      <c r="H321" s="20"/>
      <c r="J321" s="8"/>
      <c r="N321" s="20"/>
      <c r="R321" s="20"/>
    </row>
    <row r="322" spans="2:18" ht="10.5" hidden="1">
      <c r="B322" s="9" t="s">
        <v>72</v>
      </c>
      <c r="E322" s="19"/>
      <c r="F322" s="20">
        <f>'Базовые концовки'!F190</f>
        <v>0</v>
      </c>
      <c r="G322" s="20"/>
      <c r="H322" s="20"/>
      <c r="J322" s="8"/>
      <c r="N322" s="20"/>
      <c r="R322" s="20"/>
    </row>
    <row r="323" spans="2:18" ht="10.5" hidden="1">
      <c r="B323" s="9" t="s">
        <v>73</v>
      </c>
      <c r="E323" s="19"/>
      <c r="F323" s="20">
        <f>'Базовые концовки'!F191</f>
        <v>0</v>
      </c>
      <c r="G323" s="20"/>
      <c r="H323" s="20"/>
      <c r="J323" s="8"/>
      <c r="N323" s="20"/>
      <c r="R323" s="20"/>
    </row>
    <row r="324" spans="2:18" ht="10.5" hidden="1">
      <c r="B324" s="9" t="s">
        <v>74</v>
      </c>
      <c r="E324" s="19"/>
      <c r="F324" s="20">
        <f>'Базовые концовки'!F192</f>
        <v>0</v>
      </c>
      <c r="G324" s="20">
        <f>'Базовые концовки'!G192</f>
        <v>0</v>
      </c>
      <c r="H324" s="20">
        <f>'Базовые концовки'!H192</f>
        <v>0</v>
      </c>
      <c r="J324" s="8">
        <f>'Базовые концовки'!J192</f>
        <v>0</v>
      </c>
      <c r="N324" s="20">
        <f>'Базовые концовки'!L192</f>
        <v>0</v>
      </c>
      <c r="R324" s="20">
        <f>'Базовые концовки'!M192</f>
        <v>0</v>
      </c>
    </row>
    <row r="325" spans="2:18" ht="10.5" hidden="1">
      <c r="B325" s="9" t="s">
        <v>75</v>
      </c>
      <c r="E325" s="19"/>
      <c r="F325" s="20"/>
      <c r="G325" s="20"/>
      <c r="H325" s="20"/>
      <c r="J325" s="8"/>
      <c r="N325" s="20"/>
      <c r="R325" s="20"/>
    </row>
    <row r="326" spans="2:18" ht="10.5" hidden="1">
      <c r="B326" s="9" t="s">
        <v>76</v>
      </c>
      <c r="E326" s="19"/>
      <c r="F326" s="20"/>
      <c r="G326" s="20">
        <f>'Базовые концовки'!G194</f>
        <v>0</v>
      </c>
      <c r="H326" s="20"/>
      <c r="J326" s="8"/>
      <c r="N326" s="20"/>
      <c r="R326" s="20"/>
    </row>
    <row r="327" spans="2:18" ht="10.5" hidden="1">
      <c r="B327" s="9" t="s">
        <v>77</v>
      </c>
      <c r="E327" s="19"/>
      <c r="F327" s="20">
        <f>'Базовые концовки'!F195</f>
        <v>0</v>
      </c>
      <c r="G327" s="20"/>
      <c r="H327" s="20"/>
      <c r="J327" s="8"/>
      <c r="N327" s="20"/>
      <c r="R327" s="20"/>
    </row>
    <row r="328" spans="2:18" ht="10.5" hidden="1">
      <c r="B328" s="9" t="s">
        <v>78</v>
      </c>
      <c r="E328" s="19"/>
      <c r="F328" s="20">
        <f>'Базовые концовки'!F196</f>
        <v>0</v>
      </c>
      <c r="G328" s="20"/>
      <c r="H328" s="20"/>
      <c r="J328" s="8"/>
      <c r="N328" s="20"/>
      <c r="R328" s="20"/>
    </row>
    <row r="329" spans="2:18" ht="10.5" hidden="1">
      <c r="B329" s="9" t="s">
        <v>79</v>
      </c>
      <c r="E329" s="19"/>
      <c r="F329" s="20">
        <f>'Базовые концовки'!F197</f>
        <v>0</v>
      </c>
      <c r="G329" s="20"/>
      <c r="H329" s="20"/>
      <c r="J329" s="8"/>
      <c r="N329" s="20"/>
      <c r="R329" s="20"/>
    </row>
    <row r="330" spans="2:18" ht="10.5" hidden="1">
      <c r="B330" s="9" t="s">
        <v>80</v>
      </c>
      <c r="E330" s="19"/>
      <c r="F330" s="20">
        <f>'Базовые концовки'!F198</f>
        <v>0</v>
      </c>
      <c r="G330" s="20"/>
      <c r="H330" s="20"/>
      <c r="J330" s="8"/>
      <c r="N330" s="20"/>
      <c r="R330" s="20"/>
    </row>
    <row r="331" spans="2:18" ht="10.5" hidden="1">
      <c r="B331" s="9" t="s">
        <v>81</v>
      </c>
      <c r="E331" s="19"/>
      <c r="F331" s="20">
        <f>'Базовые концовки'!F199</f>
        <v>0</v>
      </c>
      <c r="G331" s="20"/>
      <c r="H331" s="20"/>
      <c r="J331" s="8"/>
      <c r="N331" s="20"/>
      <c r="R331" s="20"/>
    </row>
    <row r="332" spans="2:18" ht="10.5" hidden="1">
      <c r="B332" s="9" t="s">
        <v>72</v>
      </c>
      <c r="E332" s="19"/>
      <c r="F332" s="20">
        <f>'Базовые концовки'!F200</f>
        <v>0</v>
      </c>
      <c r="G332" s="20"/>
      <c r="H332" s="20"/>
      <c r="J332" s="8"/>
      <c r="N332" s="20"/>
      <c r="R332" s="20"/>
    </row>
    <row r="333" spans="2:18" ht="10.5" hidden="1">
      <c r="B333" s="9" t="s">
        <v>82</v>
      </c>
      <c r="E333" s="19"/>
      <c r="F333" s="20">
        <f>'Базовые концовки'!F201</f>
        <v>0</v>
      </c>
      <c r="G333" s="20"/>
      <c r="H333" s="20"/>
      <c r="J333" s="8"/>
      <c r="N333" s="20"/>
      <c r="R333" s="20"/>
    </row>
    <row r="334" spans="2:18" ht="10.5">
      <c r="B334" s="9" t="s">
        <v>83</v>
      </c>
      <c r="E334" s="45"/>
      <c r="F334" s="44">
        <f>'Базовые концовки'!F202</f>
        <v>17851.66</v>
      </c>
      <c r="G334" s="44">
        <f>'Базовые концовки'!G202</f>
        <v>1176.53</v>
      </c>
      <c r="H334" s="21">
        <f>'Базовые концовки'!H202</f>
        <v>5265.19</v>
      </c>
      <c r="I334" s="46"/>
      <c r="J334" s="22">
        <f>'Базовые концовки'!J202</f>
        <v>110.7401695</v>
      </c>
      <c r="N334" s="44">
        <f>'Базовые концовки'!L202</f>
        <v>11409.94</v>
      </c>
      <c r="R334" s="44">
        <f>'Базовые концовки'!M202</f>
        <v>0</v>
      </c>
    </row>
    <row r="335" spans="5:18" ht="10.5">
      <c r="E335" s="45"/>
      <c r="F335" s="44"/>
      <c r="G335" s="44"/>
      <c r="H335" s="20">
        <f>'Базовые концовки'!I202</f>
        <v>1914.5</v>
      </c>
      <c r="I335" s="46"/>
      <c r="J335" s="8">
        <f>'Базовые концовки'!K202</f>
        <v>140.936531</v>
      </c>
      <c r="N335" s="44"/>
      <c r="R335" s="44"/>
    </row>
    <row r="336" spans="2:18" ht="10.5" hidden="1">
      <c r="B336" s="9" t="s">
        <v>75</v>
      </c>
      <c r="E336" s="19"/>
      <c r="F336" s="20"/>
      <c r="G336" s="20"/>
      <c r="H336" s="20"/>
      <c r="J336" s="8"/>
      <c r="N336" s="20"/>
      <c r="R336" s="20"/>
    </row>
    <row r="337" spans="2:18" ht="10.5">
      <c r="B337" s="9" t="s">
        <v>84</v>
      </c>
      <c r="E337" s="19"/>
      <c r="F337" s="20">
        <f>'Базовые концовки'!F204</f>
        <v>392</v>
      </c>
      <c r="G337" s="20"/>
      <c r="H337" s="20"/>
      <c r="J337" s="8"/>
      <c r="N337" s="20"/>
      <c r="R337" s="20"/>
    </row>
    <row r="338" spans="2:18" ht="10.5" hidden="1">
      <c r="B338" s="9" t="s">
        <v>79</v>
      </c>
      <c r="E338" s="19"/>
      <c r="F338" s="20">
        <f>'Базовые концовки'!F205</f>
        <v>0</v>
      </c>
      <c r="G338" s="20"/>
      <c r="H338" s="20"/>
      <c r="J338" s="8"/>
      <c r="N338" s="20"/>
      <c r="R338" s="20"/>
    </row>
    <row r="339" spans="2:18" ht="42">
      <c r="B339" s="73" t="s">
        <v>135</v>
      </c>
      <c r="E339" s="19"/>
      <c r="F339" s="20">
        <f>'Базовые концовки'!F206</f>
        <v>2769.77</v>
      </c>
      <c r="G339" s="20"/>
      <c r="H339" s="20"/>
      <c r="J339" s="8"/>
      <c r="N339" s="20"/>
      <c r="R339" s="20"/>
    </row>
    <row r="340" spans="2:18" ht="31.5">
      <c r="B340" s="73" t="s">
        <v>136</v>
      </c>
      <c r="E340" s="19"/>
      <c r="F340" s="20">
        <f>'Базовые концовки'!F207</f>
        <v>1522.17</v>
      </c>
      <c r="G340" s="20"/>
      <c r="H340" s="20"/>
      <c r="J340" s="8"/>
      <c r="N340" s="20"/>
      <c r="R340" s="20"/>
    </row>
    <row r="341" spans="2:18" ht="10.5">
      <c r="B341" s="9" t="s">
        <v>87</v>
      </c>
      <c r="E341" s="19"/>
      <c r="F341" s="20">
        <f>'Базовые концовки'!F208</f>
        <v>22143.6</v>
      </c>
      <c r="G341" s="20"/>
      <c r="H341" s="20"/>
      <c r="J341" s="8"/>
      <c r="N341" s="20"/>
      <c r="R341" s="20"/>
    </row>
    <row r="342" spans="2:18" ht="10.5" hidden="1">
      <c r="B342" s="9" t="s">
        <v>88</v>
      </c>
      <c r="E342" s="19"/>
      <c r="F342" s="20">
        <f>'Базовые концовки'!F209</f>
        <v>0</v>
      </c>
      <c r="G342" s="20">
        <f>'Базовые концовки'!G209</f>
        <v>0</v>
      </c>
      <c r="H342" s="20">
        <f>'Базовые концовки'!H209</f>
        <v>0</v>
      </c>
      <c r="J342" s="8">
        <f>'Базовые концовки'!J209</f>
        <v>0</v>
      </c>
      <c r="N342" s="20">
        <f>'Базовые концовки'!L209</f>
        <v>0</v>
      </c>
      <c r="R342" s="20">
        <f>'Базовые концовки'!M209</f>
        <v>0</v>
      </c>
    </row>
    <row r="343" spans="2:18" ht="10.5" hidden="1">
      <c r="B343" s="9" t="s">
        <v>79</v>
      </c>
      <c r="E343" s="19"/>
      <c r="F343" s="20">
        <f>'Базовые концовки'!F210</f>
        <v>0</v>
      </c>
      <c r="G343" s="20"/>
      <c r="H343" s="20"/>
      <c r="J343" s="8"/>
      <c r="N343" s="20"/>
      <c r="R343" s="20"/>
    </row>
    <row r="344" spans="2:18" ht="10.5" hidden="1">
      <c r="B344" s="9" t="s">
        <v>80</v>
      </c>
      <c r="E344" s="19"/>
      <c r="F344" s="20">
        <f>'Базовые концовки'!F211</f>
        <v>0</v>
      </c>
      <c r="G344" s="20"/>
      <c r="H344" s="20"/>
      <c r="J344" s="8"/>
      <c r="N344" s="20"/>
      <c r="R344" s="20"/>
    </row>
    <row r="345" spans="2:18" ht="10.5" hidden="1">
      <c r="B345" s="9" t="s">
        <v>81</v>
      </c>
      <c r="E345" s="19"/>
      <c r="F345" s="20">
        <f>'Базовые концовки'!F212</f>
        <v>0</v>
      </c>
      <c r="G345" s="20"/>
      <c r="H345" s="20"/>
      <c r="J345" s="8"/>
      <c r="N345" s="20"/>
      <c r="R345" s="20"/>
    </row>
    <row r="346" spans="2:18" ht="10.5" hidden="1">
      <c r="B346" s="9" t="s">
        <v>89</v>
      </c>
      <c r="E346" s="19"/>
      <c r="F346" s="20">
        <f>'Базовые концовки'!F213</f>
        <v>0</v>
      </c>
      <c r="G346" s="20"/>
      <c r="H346" s="20"/>
      <c r="J346" s="8"/>
      <c r="N346" s="20"/>
      <c r="R346" s="20"/>
    </row>
    <row r="347" spans="2:18" ht="10.5" hidden="1">
      <c r="B347" s="9" t="s">
        <v>90</v>
      </c>
      <c r="E347" s="19"/>
      <c r="F347" s="20">
        <f>'Базовые концовки'!F214</f>
        <v>0</v>
      </c>
      <c r="G347" s="20">
        <f>'Базовые концовки'!G214</f>
        <v>0</v>
      </c>
      <c r="H347" s="20">
        <f>'Базовые концовки'!H214</f>
        <v>0</v>
      </c>
      <c r="J347" s="8">
        <f>'Базовые концовки'!J214</f>
        <v>0</v>
      </c>
      <c r="N347" s="20">
        <f>'Базовые концовки'!L214</f>
        <v>0</v>
      </c>
      <c r="R347" s="20">
        <f>'Базовые концовки'!M214</f>
        <v>0</v>
      </c>
    </row>
    <row r="348" spans="2:18" ht="10.5" hidden="1">
      <c r="B348" s="9" t="s">
        <v>75</v>
      </c>
      <c r="E348" s="19"/>
      <c r="F348" s="20"/>
      <c r="G348" s="20"/>
      <c r="H348" s="20"/>
      <c r="J348" s="8"/>
      <c r="N348" s="20"/>
      <c r="R348" s="20"/>
    </row>
    <row r="349" spans="2:18" ht="10.5" hidden="1">
      <c r="B349" s="9" t="s">
        <v>91</v>
      </c>
      <c r="E349" s="19"/>
      <c r="F349" s="20">
        <f>'Базовые концовки'!F216</f>
        <v>0</v>
      </c>
      <c r="G349" s="20"/>
      <c r="H349" s="20"/>
      <c r="J349" s="8"/>
      <c r="N349" s="20"/>
      <c r="R349" s="20"/>
    </row>
    <row r="350" spans="2:18" ht="10.5" hidden="1">
      <c r="B350" s="9" t="s">
        <v>79</v>
      </c>
      <c r="E350" s="19"/>
      <c r="F350" s="20">
        <f>'Базовые концовки'!F217</f>
        <v>0</v>
      </c>
      <c r="G350" s="20"/>
      <c r="H350" s="20"/>
      <c r="J350" s="8"/>
      <c r="N350" s="20"/>
      <c r="R350" s="20"/>
    </row>
    <row r="351" spans="2:18" ht="10.5" hidden="1">
      <c r="B351" s="9" t="s">
        <v>80</v>
      </c>
      <c r="E351" s="19"/>
      <c r="F351" s="20">
        <f>'Базовые концовки'!F218</f>
        <v>0</v>
      </c>
      <c r="G351" s="20"/>
      <c r="H351" s="20"/>
      <c r="J351" s="8"/>
      <c r="N351" s="20"/>
      <c r="R351" s="20"/>
    </row>
    <row r="352" spans="2:18" ht="10.5" hidden="1">
      <c r="B352" s="9" t="s">
        <v>81</v>
      </c>
      <c r="E352" s="19"/>
      <c r="F352" s="20">
        <f>'Базовые концовки'!F219</f>
        <v>0</v>
      </c>
      <c r="G352" s="20"/>
      <c r="H352" s="20"/>
      <c r="J352" s="8"/>
      <c r="N352" s="20"/>
      <c r="R352" s="20"/>
    </row>
    <row r="353" spans="2:18" ht="10.5" hidden="1">
      <c r="B353" s="9" t="s">
        <v>72</v>
      </c>
      <c r="E353" s="19"/>
      <c r="F353" s="20">
        <f>'Базовые концовки'!F220</f>
        <v>0</v>
      </c>
      <c r="G353" s="20"/>
      <c r="H353" s="20"/>
      <c r="J353" s="8"/>
      <c r="N353" s="20"/>
      <c r="R353" s="20"/>
    </row>
    <row r="354" spans="2:18" ht="10.5" hidden="1">
      <c r="B354" s="9" t="s">
        <v>92</v>
      </c>
      <c r="E354" s="19"/>
      <c r="F354" s="20">
        <f>'Базовые концовки'!F221</f>
        <v>0</v>
      </c>
      <c r="G354" s="20"/>
      <c r="H354" s="20"/>
      <c r="J354" s="8"/>
      <c r="N354" s="20"/>
      <c r="R354" s="20"/>
    </row>
    <row r="355" spans="2:18" ht="10.5" hidden="1">
      <c r="B355" s="9" t="s">
        <v>93</v>
      </c>
      <c r="E355" s="19"/>
      <c r="F355" s="20">
        <f>'Базовые концовки'!F222</f>
        <v>0</v>
      </c>
      <c r="G355" s="20">
        <f>'Базовые концовки'!G222</f>
        <v>0</v>
      </c>
      <c r="H355" s="20">
        <f>'Базовые концовки'!H222</f>
        <v>0</v>
      </c>
      <c r="J355" s="8">
        <f>'Базовые концовки'!J222</f>
        <v>0</v>
      </c>
      <c r="N355" s="20">
        <f>'Базовые концовки'!L222</f>
        <v>0</v>
      </c>
      <c r="R355" s="20">
        <f>'Базовые концовки'!M222</f>
        <v>0</v>
      </c>
    </row>
    <row r="356" spans="2:18" ht="10.5" hidden="1">
      <c r="B356" s="9" t="s">
        <v>79</v>
      </c>
      <c r="E356" s="19"/>
      <c r="F356" s="20">
        <f>'Базовые концовки'!F223</f>
        <v>0</v>
      </c>
      <c r="G356" s="20"/>
      <c r="H356" s="20"/>
      <c r="J356" s="8"/>
      <c r="N356" s="20"/>
      <c r="R356" s="20"/>
    </row>
    <row r="357" spans="2:18" ht="10.5" hidden="1">
      <c r="B357" s="9" t="s">
        <v>80</v>
      </c>
      <c r="E357" s="19"/>
      <c r="F357" s="20">
        <f>'Базовые концовки'!F224</f>
        <v>0</v>
      </c>
      <c r="G357" s="20"/>
      <c r="H357" s="20"/>
      <c r="J357" s="8"/>
      <c r="N357" s="20"/>
      <c r="R357" s="20"/>
    </row>
    <row r="358" spans="2:18" ht="10.5" hidden="1">
      <c r="B358" s="9" t="s">
        <v>81</v>
      </c>
      <c r="E358" s="19"/>
      <c r="F358" s="20">
        <f>'Базовые концовки'!F225</f>
        <v>0</v>
      </c>
      <c r="G358" s="20"/>
      <c r="H358" s="20"/>
      <c r="J358" s="8"/>
      <c r="N358" s="20"/>
      <c r="R358" s="20"/>
    </row>
    <row r="359" spans="2:18" ht="10.5" hidden="1">
      <c r="B359" s="9" t="s">
        <v>94</v>
      </c>
      <c r="E359" s="19"/>
      <c r="F359" s="20">
        <f>'Базовые концовки'!F226</f>
        <v>0</v>
      </c>
      <c r="G359" s="20"/>
      <c r="H359" s="20"/>
      <c r="J359" s="8"/>
      <c r="N359" s="20"/>
      <c r="R359" s="20"/>
    </row>
    <row r="360" spans="2:18" ht="10.5" hidden="1">
      <c r="B360" s="9" t="s">
        <v>95</v>
      </c>
      <c r="E360" s="19"/>
      <c r="F360" s="20">
        <f>'Базовые концовки'!F227</f>
        <v>0</v>
      </c>
      <c r="G360" s="20">
        <f>'Базовые концовки'!G227</f>
        <v>0</v>
      </c>
      <c r="H360" s="20">
        <f>'Базовые концовки'!H227</f>
        <v>0</v>
      </c>
      <c r="J360" s="8">
        <f>'Базовые концовки'!J227</f>
        <v>0</v>
      </c>
      <c r="N360" s="20">
        <f>'Базовые концовки'!L227</f>
        <v>0</v>
      </c>
      <c r="R360" s="20">
        <f>'Базовые концовки'!M227</f>
        <v>0</v>
      </c>
    </row>
    <row r="361" spans="2:18" ht="10.5" hidden="1">
      <c r="B361" s="9" t="s">
        <v>79</v>
      </c>
      <c r="E361" s="19"/>
      <c r="F361" s="20">
        <f>'Базовые концовки'!F228</f>
        <v>0</v>
      </c>
      <c r="G361" s="20"/>
      <c r="H361" s="20"/>
      <c r="J361" s="8"/>
      <c r="N361" s="20"/>
      <c r="R361" s="20"/>
    </row>
    <row r="362" spans="2:18" ht="10.5" hidden="1">
      <c r="B362" s="9" t="s">
        <v>80</v>
      </c>
      <c r="E362" s="19"/>
      <c r="F362" s="20">
        <f>'Базовые концовки'!F229</f>
        <v>0</v>
      </c>
      <c r="G362" s="20"/>
      <c r="H362" s="20"/>
      <c r="J362" s="8"/>
      <c r="N362" s="20"/>
      <c r="R362" s="20"/>
    </row>
    <row r="363" spans="2:18" ht="10.5" hidden="1">
      <c r="B363" s="9" t="s">
        <v>81</v>
      </c>
      <c r="E363" s="19"/>
      <c r="F363" s="20">
        <f>'Базовые концовки'!F230</f>
        <v>0</v>
      </c>
      <c r="G363" s="20"/>
      <c r="H363" s="20"/>
      <c r="J363" s="8"/>
      <c r="N363" s="20"/>
      <c r="R363" s="20"/>
    </row>
    <row r="364" spans="2:18" ht="10.5" hidden="1">
      <c r="B364" s="9" t="s">
        <v>96</v>
      </c>
      <c r="E364" s="19"/>
      <c r="F364" s="20">
        <f>'Базовые концовки'!F231</f>
        <v>0</v>
      </c>
      <c r="G364" s="20"/>
      <c r="H364" s="20"/>
      <c r="J364" s="8"/>
      <c r="N364" s="20"/>
      <c r="R364" s="20"/>
    </row>
    <row r="365" spans="2:18" ht="10.5" hidden="1">
      <c r="B365" s="9" t="s">
        <v>97</v>
      </c>
      <c r="E365" s="19"/>
      <c r="F365" s="20">
        <f>'Базовые концовки'!F232</f>
        <v>0</v>
      </c>
      <c r="G365" s="20">
        <f>'Базовые концовки'!G232</f>
        <v>0</v>
      </c>
      <c r="H365" s="20">
        <f>'Базовые концовки'!H232</f>
        <v>0</v>
      </c>
      <c r="J365" s="8">
        <f>'Базовые концовки'!J232</f>
        <v>0</v>
      </c>
      <c r="N365" s="20">
        <f>'Базовые концовки'!L232</f>
        <v>0</v>
      </c>
      <c r="R365" s="20">
        <f>'Базовые концовки'!M232</f>
        <v>0</v>
      </c>
    </row>
    <row r="366" spans="2:18" ht="10.5" hidden="1">
      <c r="B366" s="9" t="s">
        <v>75</v>
      </c>
      <c r="E366" s="19"/>
      <c r="F366" s="20"/>
      <c r="G366" s="20"/>
      <c r="H366" s="20"/>
      <c r="J366" s="8"/>
      <c r="N366" s="20"/>
      <c r="R366" s="20"/>
    </row>
    <row r="367" spans="2:18" ht="10.5" hidden="1">
      <c r="B367" s="9" t="s">
        <v>98</v>
      </c>
      <c r="E367" s="19"/>
      <c r="F367" s="20">
        <f>'Базовые концовки'!F234</f>
        <v>392</v>
      </c>
      <c r="G367" s="20"/>
      <c r="H367" s="20"/>
      <c r="J367" s="8"/>
      <c r="N367" s="20"/>
      <c r="R367" s="20"/>
    </row>
    <row r="368" spans="2:18" ht="10.5" hidden="1">
      <c r="B368" s="9" t="s">
        <v>79</v>
      </c>
      <c r="E368" s="19"/>
      <c r="F368" s="20">
        <f>'Базовые концовки'!F235</f>
        <v>0</v>
      </c>
      <c r="G368" s="20"/>
      <c r="H368" s="20"/>
      <c r="J368" s="8"/>
      <c r="N368" s="20"/>
      <c r="R368" s="20"/>
    </row>
    <row r="369" spans="2:18" ht="10.5" hidden="1">
      <c r="B369" s="9" t="s">
        <v>99</v>
      </c>
      <c r="E369" s="19"/>
      <c r="F369" s="20">
        <f>'Базовые концовки'!F236</f>
        <v>0</v>
      </c>
      <c r="G369" s="20"/>
      <c r="H369" s="20"/>
      <c r="J369" s="8"/>
      <c r="N369" s="20"/>
      <c r="R369" s="20"/>
    </row>
    <row r="370" spans="2:18" ht="10.5" hidden="1">
      <c r="B370" s="9" t="s">
        <v>81</v>
      </c>
      <c r="E370" s="19"/>
      <c r="F370" s="20">
        <f>'Базовые концовки'!F237</f>
        <v>0</v>
      </c>
      <c r="G370" s="20"/>
      <c r="H370" s="20"/>
      <c r="J370" s="8"/>
      <c r="N370" s="20"/>
      <c r="R370" s="20"/>
    </row>
    <row r="371" spans="2:18" ht="10.5" hidden="1">
      <c r="B371" s="9" t="s">
        <v>100</v>
      </c>
      <c r="E371" s="19"/>
      <c r="F371" s="20">
        <f>'Базовые концовки'!F238</f>
        <v>0</v>
      </c>
      <c r="G371" s="20"/>
      <c r="H371" s="20"/>
      <c r="J371" s="8"/>
      <c r="N371" s="20"/>
      <c r="R371" s="20"/>
    </row>
    <row r="372" spans="2:18" ht="10.5" hidden="1">
      <c r="B372" s="9" t="s">
        <v>101</v>
      </c>
      <c r="E372" s="19"/>
      <c r="F372" s="20">
        <f>'Базовые концовки'!F239</f>
        <v>0</v>
      </c>
      <c r="G372" s="20">
        <f>'Базовые концовки'!G239</f>
        <v>0</v>
      </c>
      <c r="H372" s="20">
        <f>'Базовые концовки'!H239</f>
        <v>0</v>
      </c>
      <c r="J372" s="8">
        <f>'Базовые концовки'!J239</f>
        <v>0</v>
      </c>
      <c r="N372" s="20">
        <f>'Базовые концовки'!L239</f>
        <v>0</v>
      </c>
      <c r="R372" s="20">
        <f>'Базовые концовки'!M239</f>
        <v>0</v>
      </c>
    </row>
    <row r="373" spans="2:18" ht="10.5" hidden="1">
      <c r="B373" s="9" t="s">
        <v>99</v>
      </c>
      <c r="E373" s="19"/>
      <c r="F373" s="20">
        <f>'Базовые концовки'!F240</f>
        <v>0</v>
      </c>
      <c r="G373" s="20"/>
      <c r="H373" s="20"/>
      <c r="J373" s="8"/>
      <c r="N373" s="20"/>
      <c r="R373" s="20"/>
    </row>
    <row r="374" spans="2:18" ht="10.5" hidden="1">
      <c r="B374" s="9" t="s">
        <v>81</v>
      </c>
      <c r="E374" s="19"/>
      <c r="F374" s="20">
        <f>'Базовые концовки'!F241</f>
        <v>0</v>
      </c>
      <c r="G374" s="20"/>
      <c r="H374" s="20"/>
      <c r="J374" s="8"/>
      <c r="N374" s="20"/>
      <c r="R374" s="20"/>
    </row>
    <row r="375" spans="2:18" ht="10.5" hidden="1">
      <c r="B375" s="9" t="s">
        <v>102</v>
      </c>
      <c r="E375" s="19"/>
      <c r="F375" s="20">
        <f>'Базовые концовки'!F242</f>
        <v>0</v>
      </c>
      <c r="G375" s="20"/>
      <c r="H375" s="20"/>
      <c r="J375" s="8"/>
      <c r="N375" s="20"/>
      <c r="R375" s="20"/>
    </row>
    <row r="376" spans="2:18" ht="10.5" hidden="1">
      <c r="B376" s="9" t="s">
        <v>103</v>
      </c>
      <c r="E376" s="19"/>
      <c r="F376" s="20">
        <f>'Базовые концовки'!F243</f>
        <v>0</v>
      </c>
      <c r="G376" s="20">
        <f>'Базовые концовки'!G243</f>
        <v>0</v>
      </c>
      <c r="H376" s="20">
        <f>'Базовые концовки'!H243</f>
        <v>0</v>
      </c>
      <c r="J376" s="8">
        <f>'Базовые концовки'!J243</f>
        <v>0</v>
      </c>
      <c r="N376" s="20">
        <f>'Базовые концовки'!L243</f>
        <v>0</v>
      </c>
      <c r="R376" s="20">
        <f>'Базовые концовки'!M243</f>
        <v>0</v>
      </c>
    </row>
    <row r="377" spans="2:18" ht="10.5" hidden="1">
      <c r="B377" s="9" t="s">
        <v>79</v>
      </c>
      <c r="E377" s="19"/>
      <c r="F377" s="20">
        <f>'Базовые концовки'!F244</f>
        <v>0</v>
      </c>
      <c r="G377" s="20"/>
      <c r="H377" s="20"/>
      <c r="J377" s="8"/>
      <c r="N377" s="20"/>
      <c r="R377" s="20"/>
    </row>
    <row r="378" spans="2:18" ht="10.5" hidden="1">
      <c r="B378" s="9" t="s">
        <v>99</v>
      </c>
      <c r="E378" s="19"/>
      <c r="F378" s="20">
        <f>'Базовые концовки'!F245</f>
        <v>0</v>
      </c>
      <c r="G378" s="20"/>
      <c r="H378" s="20"/>
      <c r="J378" s="8"/>
      <c r="N378" s="20"/>
      <c r="R378" s="20"/>
    </row>
    <row r="379" spans="2:18" ht="10.5" hidden="1">
      <c r="B379" s="9" t="s">
        <v>81</v>
      </c>
      <c r="E379" s="19"/>
      <c r="F379" s="20">
        <f>'Базовые концовки'!F246</f>
        <v>0</v>
      </c>
      <c r="G379" s="20"/>
      <c r="H379" s="20"/>
      <c r="J379" s="8"/>
      <c r="N379" s="20"/>
      <c r="R379" s="20"/>
    </row>
    <row r="380" spans="2:18" ht="10.5" hidden="1">
      <c r="B380" s="9" t="s">
        <v>104</v>
      </c>
      <c r="E380" s="19"/>
      <c r="F380" s="20">
        <f>'Базовые концовки'!F247</f>
        <v>0</v>
      </c>
      <c r="G380" s="20"/>
      <c r="H380" s="20"/>
      <c r="J380" s="8"/>
      <c r="N380" s="20"/>
      <c r="R380" s="20"/>
    </row>
    <row r="381" spans="2:18" ht="10.5" hidden="1">
      <c r="B381" s="9" t="s">
        <v>105</v>
      </c>
      <c r="E381" s="19"/>
      <c r="F381" s="20">
        <f>'Базовые концовки'!F248</f>
        <v>0</v>
      </c>
      <c r="G381" s="20">
        <f>'Базовые концовки'!G248</f>
        <v>0</v>
      </c>
      <c r="H381" s="20">
        <f>'Базовые концовки'!H248</f>
        <v>0</v>
      </c>
      <c r="J381" s="8">
        <f>'Базовые концовки'!J248</f>
        <v>0</v>
      </c>
      <c r="N381" s="20">
        <f>'Базовые концовки'!L248</f>
        <v>0</v>
      </c>
      <c r="R381" s="20">
        <f>'Базовые концовки'!M248</f>
        <v>0</v>
      </c>
    </row>
    <row r="382" spans="2:18" ht="10.5" hidden="1">
      <c r="B382" s="9" t="s">
        <v>79</v>
      </c>
      <c r="E382" s="19"/>
      <c r="F382" s="20">
        <f>'Базовые концовки'!F249</f>
        <v>0</v>
      </c>
      <c r="G382" s="20"/>
      <c r="H382" s="20"/>
      <c r="J382" s="8"/>
      <c r="N382" s="20"/>
      <c r="R382" s="20"/>
    </row>
    <row r="383" spans="2:18" ht="10.5">
      <c r="B383" s="9" t="s">
        <v>137</v>
      </c>
      <c r="E383" s="19"/>
      <c r="F383" s="20">
        <f>'Базовые концовки'!F250</f>
        <v>22143.6</v>
      </c>
      <c r="G383" s="20">
        <f>'Базовые концовки'!G250</f>
        <v>0</v>
      </c>
      <c r="H383" s="20">
        <f>'Базовые концовки'!H250</f>
        <v>0</v>
      </c>
      <c r="J383" s="8">
        <f>'Базовые концовки'!J250</f>
        <v>0</v>
      </c>
      <c r="N383" s="20">
        <f>'Базовые концовки'!L250</f>
        <v>0</v>
      </c>
      <c r="R383" s="20">
        <f>'Базовые концовки'!M250</f>
        <v>0</v>
      </c>
    </row>
    <row r="384" spans="2:18" ht="10.5" hidden="1">
      <c r="B384" s="9" t="s">
        <v>107</v>
      </c>
      <c r="E384" s="19"/>
      <c r="F384" s="20">
        <f>'Базовые концовки'!F251</f>
        <v>0</v>
      </c>
      <c r="G384" s="20"/>
      <c r="H384" s="20"/>
      <c r="J384" s="8"/>
      <c r="N384" s="20"/>
      <c r="R384" s="20"/>
    </row>
    <row r="385" spans="2:18" ht="10.5">
      <c r="B385" s="9" t="s">
        <v>108</v>
      </c>
      <c r="E385" s="19"/>
      <c r="F385" s="20">
        <f>'Базовые концовки'!F252</f>
        <v>2769.77</v>
      </c>
      <c r="G385" s="20"/>
      <c r="H385" s="20"/>
      <c r="J385" s="8"/>
      <c r="N385" s="20"/>
      <c r="R385" s="20"/>
    </row>
    <row r="386" spans="2:18" ht="10.5">
      <c r="B386" s="9" t="s">
        <v>109</v>
      </c>
      <c r="E386" s="19"/>
      <c r="F386" s="20">
        <f>'Базовые концовки'!F253</f>
        <v>1522.17</v>
      </c>
      <c r="G386" s="20"/>
      <c r="H386" s="20"/>
      <c r="J386" s="8"/>
      <c r="N386" s="20"/>
      <c r="R386" s="20"/>
    </row>
    <row r="387" spans="2:18" ht="10.5">
      <c r="B387" s="9" t="s">
        <v>138</v>
      </c>
      <c r="E387" s="19"/>
      <c r="F387" s="20">
        <f>F175+F301</f>
        <v>85772.7865</v>
      </c>
      <c r="G387" s="20"/>
      <c r="H387" s="20"/>
      <c r="J387" s="8"/>
      <c r="N387" s="20"/>
      <c r="R387" s="20"/>
    </row>
    <row r="388" spans="2:18" ht="10.5">
      <c r="B388" s="9" t="s">
        <v>111</v>
      </c>
      <c r="E388" s="19">
        <v>18</v>
      </c>
      <c r="F388" s="20">
        <f>F387*0.18</f>
        <v>15439.101569999999</v>
      </c>
      <c r="G388" s="20"/>
      <c r="H388" s="20"/>
      <c r="J388" s="8"/>
      <c r="N388" s="20"/>
      <c r="R388" s="20"/>
    </row>
    <row r="389" spans="2:18" ht="10.5">
      <c r="B389" s="9" t="s">
        <v>112</v>
      </c>
      <c r="E389" s="19"/>
      <c r="F389" s="20">
        <f>F387+F388</f>
        <v>101211.88807</v>
      </c>
      <c r="G389" s="20"/>
      <c r="H389" s="20"/>
      <c r="J389" s="8"/>
      <c r="N389" s="20"/>
      <c r="R389" s="20"/>
    </row>
    <row r="390" spans="2:18" ht="10.5" hidden="1">
      <c r="B390" s="9" t="s">
        <v>113</v>
      </c>
      <c r="E390" s="19"/>
      <c r="F390" s="20"/>
      <c r="G390" s="20"/>
      <c r="H390" s="20"/>
      <c r="J390" s="8"/>
      <c r="N390" s="20">
        <f>'Базовые концовки'!L257</f>
        <v>0</v>
      </c>
      <c r="R390" s="20"/>
    </row>
    <row r="391" spans="2:18" ht="10.5" hidden="1">
      <c r="B391" s="9" t="s">
        <v>114</v>
      </c>
      <c r="E391" s="19"/>
      <c r="F391" s="20">
        <f>'Базовые концовки'!F258</f>
        <v>1176.53</v>
      </c>
      <c r="G391" s="20"/>
      <c r="H391" s="20"/>
      <c r="J391" s="8"/>
      <c r="N391" s="20"/>
      <c r="R391" s="20"/>
    </row>
    <row r="392" spans="2:18" ht="10.5" hidden="1">
      <c r="B392" s="9" t="s">
        <v>115</v>
      </c>
      <c r="E392" s="19"/>
      <c r="F392" s="20">
        <f>'Базовые концовки'!F259</f>
        <v>1914.5</v>
      </c>
      <c r="G392" s="20"/>
      <c r="H392" s="20"/>
      <c r="J392" s="8"/>
      <c r="N392" s="20"/>
      <c r="R392" s="20"/>
    </row>
    <row r="393" spans="2:18" ht="10.5" hidden="1">
      <c r="B393" s="9" t="s">
        <v>116</v>
      </c>
      <c r="E393" s="19"/>
      <c r="F393" s="20">
        <f>'Базовые концовки'!F260</f>
        <v>3091.03</v>
      </c>
      <c r="G393" s="20"/>
      <c r="H393" s="20"/>
      <c r="J393" s="8"/>
      <c r="N393" s="20"/>
      <c r="R393" s="20"/>
    </row>
    <row r="394" spans="2:18" ht="10.5" hidden="1">
      <c r="B394" s="9" t="s">
        <v>117</v>
      </c>
      <c r="E394" s="19"/>
      <c r="F394" s="20"/>
      <c r="G394" s="20"/>
      <c r="H394" s="20"/>
      <c r="J394" s="8">
        <f>'Базовые концовки'!J261</f>
        <v>110.7401695</v>
      </c>
      <c r="N394" s="20"/>
      <c r="R394" s="20"/>
    </row>
    <row r="395" spans="2:18" ht="10.5" hidden="1">
      <c r="B395" s="9" t="s">
        <v>118</v>
      </c>
      <c r="E395" s="19"/>
      <c r="F395" s="20"/>
      <c r="G395" s="20"/>
      <c r="H395" s="20"/>
      <c r="J395" s="8">
        <f>'Базовые концовки'!J262</f>
        <v>140.936531</v>
      </c>
      <c r="N395" s="20"/>
      <c r="R395" s="20"/>
    </row>
    <row r="396" spans="2:18" ht="10.5" hidden="1">
      <c r="B396" s="9" t="s">
        <v>119</v>
      </c>
      <c r="E396" s="19"/>
      <c r="F396" s="20"/>
      <c r="G396" s="20"/>
      <c r="H396" s="20"/>
      <c r="J396" s="8">
        <f>'Базовые концовки'!J263</f>
        <v>251.6767005</v>
      </c>
      <c r="N396" s="20"/>
      <c r="R396" s="20"/>
    </row>
    <row r="398" spans="2:12" ht="10.5">
      <c r="B398" s="74" t="s">
        <v>139</v>
      </c>
      <c r="C398" s="75"/>
      <c r="D398" s="75"/>
      <c r="E398" s="75"/>
      <c r="F398" s="75"/>
      <c r="G398" s="75"/>
      <c r="H398" s="75"/>
      <c r="I398" s="75"/>
      <c r="J398" s="75"/>
      <c r="K398" s="75"/>
      <c r="L398" s="75"/>
    </row>
    <row r="399" spans="2:12" ht="10.5">
      <c r="B399" s="71"/>
      <c r="C399" s="76" t="s">
        <v>335</v>
      </c>
      <c r="D399" s="76"/>
      <c r="E399" s="76"/>
      <c r="F399" s="76"/>
      <c r="G399" s="76"/>
      <c r="H399" s="76"/>
      <c r="I399" s="76"/>
      <c r="J399" s="76"/>
      <c r="K399" s="76"/>
      <c r="L399" s="76"/>
    </row>
    <row r="400" spans="2:12" ht="10.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</row>
    <row r="401" spans="1:12" ht="10.5">
      <c r="A401" s="23"/>
      <c r="B401" s="74" t="s">
        <v>140</v>
      </c>
      <c r="C401" s="75"/>
      <c r="D401" s="75"/>
      <c r="E401" s="75"/>
      <c r="F401" s="75"/>
      <c r="G401" s="75"/>
      <c r="H401" s="75"/>
      <c r="I401" s="75"/>
      <c r="J401" s="75"/>
      <c r="K401" s="75"/>
      <c r="L401" s="75"/>
    </row>
    <row r="402" spans="2:12" ht="10.5">
      <c r="B402" s="71"/>
      <c r="C402" s="76" t="s">
        <v>335</v>
      </c>
      <c r="D402" s="76"/>
      <c r="E402" s="76"/>
      <c r="F402" s="76"/>
      <c r="G402" s="76"/>
      <c r="H402" s="76"/>
      <c r="I402" s="76"/>
      <c r="J402" s="76"/>
      <c r="K402" s="76"/>
      <c r="L402" s="76"/>
    </row>
    <row r="403" spans="2:12" ht="10.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</row>
  </sheetData>
  <mergeCells count="144">
    <mergeCell ref="C398:L398"/>
    <mergeCell ref="C399:L399"/>
    <mergeCell ref="C401:L401"/>
    <mergeCell ref="C402:L402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2:J12"/>
    <mergeCell ref="A13:J13"/>
    <mergeCell ref="A18:J18"/>
    <mergeCell ref="A20:A22"/>
    <mergeCell ref="B20:B22"/>
    <mergeCell ref="C20:C22"/>
    <mergeCell ref="D20:E20"/>
    <mergeCell ref="F21:F22"/>
    <mergeCell ref="G21:G22"/>
    <mergeCell ref="F20:H20"/>
    <mergeCell ref="I20:J20"/>
    <mergeCell ref="I21:J21"/>
    <mergeCell ref="B26:J27"/>
    <mergeCell ref="A28:A29"/>
    <mergeCell ref="B28:B29"/>
    <mergeCell ref="C28:C29"/>
    <mergeCell ref="G28:G29"/>
    <mergeCell ref="N28:N29"/>
    <mergeCell ref="F28:F29"/>
    <mergeCell ref="B30:J30"/>
    <mergeCell ref="A38:A39"/>
    <mergeCell ref="B38:B39"/>
    <mergeCell ref="C38:C39"/>
    <mergeCell ref="G38:G39"/>
    <mergeCell ref="N38:N39"/>
    <mergeCell ref="F38:F39"/>
    <mergeCell ref="B40:J40"/>
    <mergeCell ref="A48:A49"/>
    <mergeCell ref="B48:B49"/>
    <mergeCell ref="C48:C49"/>
    <mergeCell ref="G48:G49"/>
    <mergeCell ref="N48:N49"/>
    <mergeCell ref="F48:F49"/>
    <mergeCell ref="B50:J50"/>
    <mergeCell ref="A58:A59"/>
    <mergeCell ref="B58:B59"/>
    <mergeCell ref="C58:C59"/>
    <mergeCell ref="G58:G59"/>
    <mergeCell ref="N58:N59"/>
    <mergeCell ref="F58:F59"/>
    <mergeCell ref="B61:J61"/>
    <mergeCell ref="A69:A70"/>
    <mergeCell ref="B69:B70"/>
    <mergeCell ref="C69:C70"/>
    <mergeCell ref="G69:G70"/>
    <mergeCell ref="N69:N70"/>
    <mergeCell ref="F69:F70"/>
    <mergeCell ref="B72:J72"/>
    <mergeCell ref="A80:A81"/>
    <mergeCell ref="B80:B81"/>
    <mergeCell ref="C80:C81"/>
    <mergeCell ref="G80:G81"/>
    <mergeCell ref="N80:N81"/>
    <mergeCell ref="F80:F81"/>
    <mergeCell ref="A90:A91"/>
    <mergeCell ref="B90:B91"/>
    <mergeCell ref="C90:C91"/>
    <mergeCell ref="G90:G91"/>
    <mergeCell ref="N90:N91"/>
    <mergeCell ref="F90:F91"/>
    <mergeCell ref="E100:E101"/>
    <mergeCell ref="F100:F101"/>
    <mergeCell ref="G100:G101"/>
    <mergeCell ref="N100:N101"/>
    <mergeCell ref="I100:I101"/>
    <mergeCell ref="R100:R101"/>
    <mergeCell ref="E122:E123"/>
    <mergeCell ref="F122:F123"/>
    <mergeCell ref="G122:G123"/>
    <mergeCell ref="N122:N123"/>
    <mergeCell ref="I122:I123"/>
    <mergeCell ref="R122:R123"/>
    <mergeCell ref="B186:J187"/>
    <mergeCell ref="A188:A189"/>
    <mergeCell ref="B188:B189"/>
    <mergeCell ref="C188:C189"/>
    <mergeCell ref="G188:G189"/>
    <mergeCell ref="N188:N189"/>
    <mergeCell ref="F188:F189"/>
    <mergeCell ref="B190:J190"/>
    <mergeCell ref="A198:A199"/>
    <mergeCell ref="B198:B199"/>
    <mergeCell ref="C198:C199"/>
    <mergeCell ref="G198:G199"/>
    <mergeCell ref="N198:N199"/>
    <mergeCell ref="F198:F199"/>
    <mergeCell ref="A207:A208"/>
    <mergeCell ref="B207:B208"/>
    <mergeCell ref="C207:C208"/>
    <mergeCell ref="G207:G208"/>
    <mergeCell ref="A216:A217"/>
    <mergeCell ref="B216:B217"/>
    <mergeCell ref="C216:C217"/>
    <mergeCell ref="G216:G217"/>
    <mergeCell ref="F216:F217"/>
    <mergeCell ref="F226:F227"/>
    <mergeCell ref="G226:G227"/>
    <mergeCell ref="N207:N208"/>
    <mergeCell ref="F207:F208"/>
    <mergeCell ref="N216:N217"/>
    <mergeCell ref="E248:E249"/>
    <mergeCell ref="F248:F249"/>
    <mergeCell ref="G248:G249"/>
    <mergeCell ref="N248:N249"/>
    <mergeCell ref="I248:I249"/>
    <mergeCell ref="R334:R335"/>
    <mergeCell ref="E312:E313"/>
    <mergeCell ref="F312:F313"/>
    <mergeCell ref="G312:G313"/>
    <mergeCell ref="N312:N313"/>
    <mergeCell ref="I312:I313"/>
    <mergeCell ref="E334:E335"/>
    <mergeCell ref="F334:F335"/>
    <mergeCell ref="G334:G335"/>
    <mergeCell ref="N334:N335"/>
    <mergeCell ref="I334:I335"/>
    <mergeCell ref="H15:I15"/>
    <mergeCell ref="H16:I16"/>
    <mergeCell ref="H17:I17"/>
    <mergeCell ref="R312:R313"/>
    <mergeCell ref="N226:N227"/>
    <mergeCell ref="I226:I227"/>
    <mergeCell ref="R226:R227"/>
    <mergeCell ref="R248:R249"/>
    <mergeCell ref="B218:J218"/>
    <mergeCell ref="E226:E227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22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141</v>
      </c>
      <c r="C1" s="29" t="s">
        <v>142</v>
      </c>
      <c r="D1" s="29" t="s">
        <v>143</v>
      </c>
      <c r="E1" s="29" t="s">
        <v>144</v>
      </c>
      <c r="F1" s="29" t="s">
        <v>145</v>
      </c>
      <c r="G1" s="29" t="s">
        <v>146</v>
      </c>
      <c r="H1" s="29" t="s">
        <v>147</v>
      </c>
      <c r="I1" s="29" t="s">
        <v>148</v>
      </c>
      <c r="J1" s="29" t="s">
        <v>149</v>
      </c>
      <c r="K1" s="29" t="s">
        <v>150</v>
      </c>
      <c r="L1" s="29" t="s">
        <v>151</v>
      </c>
      <c r="M1" s="29" t="s">
        <v>152</v>
      </c>
      <c r="N1" s="29" t="s">
        <v>153</v>
      </c>
      <c r="O1" s="29" t="s">
        <v>154</v>
      </c>
      <c r="P1" s="29" t="s">
        <v>155</v>
      </c>
      <c r="Q1" s="29" t="s">
        <v>156</v>
      </c>
      <c r="R1" s="29" t="s">
        <v>157</v>
      </c>
      <c r="S1" s="29" t="s">
        <v>158</v>
      </c>
      <c r="T1" s="29" t="s">
        <v>159</v>
      </c>
      <c r="U1" s="29" t="s">
        <v>160</v>
      </c>
      <c r="V1" s="29" t="s">
        <v>161</v>
      </c>
      <c r="W1" s="29"/>
      <c r="X1" s="29" t="s">
        <v>162</v>
      </c>
      <c r="Y1" s="29" t="s">
        <v>163</v>
      </c>
      <c r="Z1" s="29" t="s">
        <v>164</v>
      </c>
      <c r="AA1" s="29" t="s">
        <v>165</v>
      </c>
      <c r="AB1" s="29" t="s">
        <v>166</v>
      </c>
      <c r="AC1" s="29" t="s">
        <v>167</v>
      </c>
      <c r="AD1" s="29" t="s">
        <v>168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31"/>
      <c r="B3" s="63" t="s">
        <v>169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31"/>
      <c r="B4" s="63" t="s">
        <v>170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ht="10.5">
      <c r="A6" s="30"/>
    </row>
    <row r="7" spans="1:10" ht="10.5">
      <c r="A7" s="30"/>
      <c r="B7" s="51" t="s">
        <v>28</v>
      </c>
      <c r="C7" s="51"/>
      <c r="D7" s="51"/>
      <c r="E7" s="51"/>
      <c r="F7" s="51"/>
      <c r="G7" s="51"/>
      <c r="H7" s="51"/>
      <c r="I7" s="51"/>
      <c r="J7" s="51"/>
    </row>
    <row r="8" spans="1:10" ht="10.5">
      <c r="A8" s="30"/>
      <c r="B8" s="51"/>
      <c r="C8" s="51"/>
      <c r="D8" s="51"/>
      <c r="E8" s="51"/>
      <c r="F8" s="51"/>
      <c r="G8" s="51"/>
      <c r="H8" s="51"/>
      <c r="I8" s="51"/>
      <c r="J8" s="51"/>
    </row>
    <row r="9" spans="1:30" ht="10.5">
      <c r="A9" s="24" t="str">
        <f>'Форма 4'!A28</f>
        <v>1.</v>
      </c>
      <c r="B9" s="24">
        <f aca="true" t="shared" si="0" ref="B9:B15">ROUND(C9+D9+F9,2)</f>
        <v>39.01</v>
      </c>
      <c r="C9" s="24">
        <f>'Форма 4'!D29</f>
        <v>0</v>
      </c>
      <c r="D9" s="24">
        <f>'Форма 4'!E28</f>
        <v>39.01</v>
      </c>
      <c r="E9" s="24">
        <f>'Форма 4'!E29</f>
        <v>7.66</v>
      </c>
      <c r="F9" s="24">
        <v>0</v>
      </c>
      <c r="G9" s="24">
        <v>0</v>
      </c>
      <c r="H9" s="24">
        <v>0</v>
      </c>
      <c r="I9" s="25">
        <f>'Форма 4'!I28</f>
        <v>0</v>
      </c>
      <c r="J9" s="25">
        <v>0</v>
      </c>
      <c r="K9" s="25">
        <f>'Форма 4'!I29</f>
        <v>0.54625</v>
      </c>
      <c r="L9" s="24">
        <v>0</v>
      </c>
      <c r="M9" s="24">
        <v>0</v>
      </c>
      <c r="N9" s="24">
        <v>7.28</v>
      </c>
      <c r="O9" s="24">
        <v>3.29</v>
      </c>
      <c r="P9" s="24">
        <v>0</v>
      </c>
      <c r="Q9" s="24">
        <v>7.28</v>
      </c>
      <c r="R9" s="24">
        <v>0</v>
      </c>
      <c r="S9" s="24">
        <v>3.29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4'!A38</f>
        <v>2.</v>
      </c>
      <c r="B10" s="24">
        <f t="shared" si="0"/>
        <v>209.48</v>
      </c>
      <c r="C10" s="24">
        <f>'Форма 4'!D39</f>
        <v>3.27</v>
      </c>
      <c r="D10" s="24">
        <f>'Форма 4'!E38</f>
        <v>52.27</v>
      </c>
      <c r="E10" s="24">
        <f>'Форма 4'!E39</f>
        <v>4.66</v>
      </c>
      <c r="F10" s="24">
        <v>153.94</v>
      </c>
      <c r="G10" s="24">
        <v>0</v>
      </c>
      <c r="H10" s="24">
        <v>0</v>
      </c>
      <c r="I10" s="25">
        <f>'Форма 4'!I38</f>
        <v>0.3199127</v>
      </c>
      <c r="J10" s="25">
        <v>0</v>
      </c>
      <c r="K10" s="25">
        <f>'Форма 4'!I39</f>
        <v>0.2961251</v>
      </c>
      <c r="L10" s="24">
        <v>0</v>
      </c>
      <c r="M10" s="24">
        <v>0</v>
      </c>
      <c r="N10" s="24">
        <v>11.26</v>
      </c>
      <c r="O10" s="24">
        <v>6.42</v>
      </c>
      <c r="P10" s="24">
        <v>4.64</v>
      </c>
      <c r="Q10" s="24">
        <v>6.62</v>
      </c>
      <c r="R10" s="24">
        <v>2.65</v>
      </c>
      <c r="S10" s="24">
        <v>3.77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  <row r="11" spans="1:30" ht="10.5">
      <c r="A11" s="24" t="str">
        <f>'Форма 4'!A48</f>
        <v>3.</v>
      </c>
      <c r="B11" s="24">
        <f t="shared" si="0"/>
        <v>6199.85</v>
      </c>
      <c r="C11" s="24">
        <f>'Форма 4'!D49</f>
        <v>61.64</v>
      </c>
      <c r="D11" s="24">
        <f>'Форма 4'!E48</f>
        <v>360.4</v>
      </c>
      <c r="E11" s="24">
        <f>'Форма 4'!E49</f>
        <v>43.36</v>
      </c>
      <c r="F11" s="24">
        <v>5777.81</v>
      </c>
      <c r="G11" s="24">
        <v>0</v>
      </c>
      <c r="H11" s="24">
        <v>0</v>
      </c>
      <c r="I11" s="25">
        <f>'Форма 4'!I48</f>
        <v>5.065175</v>
      </c>
      <c r="J11" s="25">
        <v>0</v>
      </c>
      <c r="K11" s="25">
        <f>'Форма 4'!I49</f>
        <v>2.74275</v>
      </c>
      <c r="L11" s="24">
        <v>0</v>
      </c>
      <c r="M11" s="24">
        <v>0</v>
      </c>
      <c r="N11" s="24">
        <v>149.1</v>
      </c>
      <c r="O11" s="24">
        <v>85.05</v>
      </c>
      <c r="P11" s="24">
        <v>87.53</v>
      </c>
      <c r="Q11" s="24">
        <v>61.57</v>
      </c>
      <c r="R11" s="24">
        <v>49.93</v>
      </c>
      <c r="S11" s="24">
        <v>35.12</v>
      </c>
      <c r="T11" s="24">
        <v>0</v>
      </c>
      <c r="U11" s="24">
        <v>0</v>
      </c>
      <c r="V11" s="24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</row>
    <row r="12" spans="1:30" ht="10.5">
      <c r="A12" s="24" t="str">
        <f>'Форма 4'!A58</f>
        <v>4.</v>
      </c>
      <c r="B12" s="24">
        <f t="shared" si="0"/>
        <v>7173.97</v>
      </c>
      <c r="C12" s="24">
        <f>'Форма 4'!D59</f>
        <v>1.45</v>
      </c>
      <c r="D12" s="24">
        <f>'Форма 4'!E58</f>
        <v>4.87</v>
      </c>
      <c r="E12" s="24">
        <f>'Форма 4'!E59</f>
        <v>0</v>
      </c>
      <c r="F12" s="24">
        <v>7167.65</v>
      </c>
      <c r="G12" s="24">
        <v>0</v>
      </c>
      <c r="H12" s="24">
        <v>0</v>
      </c>
      <c r="I12" s="25">
        <f>'Форма 4'!I58</f>
        <v>0.119025</v>
      </c>
      <c r="J12" s="25">
        <v>0</v>
      </c>
      <c r="K12" s="25">
        <f>'Форма 4'!I59</f>
        <v>0</v>
      </c>
      <c r="L12" s="24">
        <v>0</v>
      </c>
      <c r="M12" s="24">
        <v>0</v>
      </c>
      <c r="N12" s="24">
        <v>2.06</v>
      </c>
      <c r="O12" s="24">
        <v>1.17</v>
      </c>
      <c r="P12" s="24">
        <v>2.06</v>
      </c>
      <c r="Q12" s="24">
        <v>0</v>
      </c>
      <c r="R12" s="24">
        <v>1.17</v>
      </c>
      <c r="S12" s="24">
        <v>0</v>
      </c>
      <c r="T12" s="24">
        <v>0</v>
      </c>
      <c r="U12" s="24">
        <v>0</v>
      </c>
      <c r="V12" s="24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</row>
    <row r="13" spans="1:30" ht="10.5">
      <c r="A13" s="24" t="str">
        <f>'Форма 4'!A69</f>
        <v>5.</v>
      </c>
      <c r="B13" s="24">
        <f t="shared" si="0"/>
        <v>3385.78</v>
      </c>
      <c r="C13" s="24">
        <f>'Форма 4'!D70</f>
        <v>0</v>
      </c>
      <c r="D13" s="24">
        <f>'Форма 4'!E69</f>
        <v>58.88</v>
      </c>
      <c r="E13" s="24">
        <f>'Форма 4'!E70</f>
        <v>12.42</v>
      </c>
      <c r="F13" s="24">
        <v>3326.9</v>
      </c>
      <c r="G13" s="24">
        <v>0</v>
      </c>
      <c r="H13" s="24">
        <v>0</v>
      </c>
      <c r="I13" s="25">
        <f>'Форма 4'!I69</f>
        <v>0</v>
      </c>
      <c r="J13" s="25">
        <v>0</v>
      </c>
      <c r="K13" s="25">
        <f>'Форма 4'!I70</f>
        <v>0.94875</v>
      </c>
      <c r="L13" s="24">
        <v>0</v>
      </c>
      <c r="M13" s="24">
        <v>0</v>
      </c>
      <c r="N13" s="24">
        <v>17.64</v>
      </c>
      <c r="O13" s="24">
        <v>10.06</v>
      </c>
      <c r="P13" s="24">
        <v>0</v>
      </c>
      <c r="Q13" s="24">
        <v>17.64</v>
      </c>
      <c r="R13" s="24">
        <v>0</v>
      </c>
      <c r="S13" s="24">
        <v>10.06</v>
      </c>
      <c r="T13" s="24">
        <v>0</v>
      </c>
      <c r="U13" s="24">
        <v>0</v>
      </c>
      <c r="V13" s="24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</row>
    <row r="14" spans="1:30" ht="10.5">
      <c r="A14" s="24" t="str">
        <f>'Форма 4'!A80</f>
        <v>6.</v>
      </c>
      <c r="B14" s="24">
        <f t="shared" si="0"/>
        <v>9.2</v>
      </c>
      <c r="C14" s="24">
        <f>'Форма 4'!D81</f>
        <v>0</v>
      </c>
      <c r="D14" s="24">
        <f>'Форма 4'!E80</f>
        <v>9.2</v>
      </c>
      <c r="E14" s="24">
        <f>'Форма 4'!E81</f>
        <v>0</v>
      </c>
      <c r="F14" s="24">
        <v>0</v>
      </c>
      <c r="G14" s="24">
        <v>0</v>
      </c>
      <c r="H14" s="24">
        <v>0</v>
      </c>
      <c r="I14" s="25">
        <f>'Форма 4'!I80</f>
        <v>0</v>
      </c>
      <c r="J14" s="25">
        <v>0</v>
      </c>
      <c r="K14" s="25">
        <f>'Форма 4'!I81</f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</row>
    <row r="15" spans="1:30" ht="10.5">
      <c r="A15" s="24" t="str">
        <f>'Форма 4'!A90</f>
        <v>7.</v>
      </c>
      <c r="B15" s="24">
        <f t="shared" si="0"/>
        <v>17.99</v>
      </c>
      <c r="C15" s="24">
        <f>'Форма 4'!D91</f>
        <v>0</v>
      </c>
      <c r="D15" s="24">
        <f>'Форма 4'!E90</f>
        <v>0</v>
      </c>
      <c r="E15" s="24">
        <f>'Форма 4'!E91</f>
        <v>0</v>
      </c>
      <c r="F15" s="24">
        <v>17.99</v>
      </c>
      <c r="G15" s="24">
        <v>0</v>
      </c>
      <c r="H15" s="24">
        <v>0</v>
      </c>
      <c r="I15" s="25">
        <f>'Форма 4'!I90</f>
        <v>0</v>
      </c>
      <c r="J15" s="25">
        <v>0</v>
      </c>
      <c r="K15" s="25">
        <f>'Форма 4'!I91</f>
        <v>0</v>
      </c>
      <c r="L15" s="24">
        <v>7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</row>
    <row r="16" ht="10.5">
      <c r="A16" s="30"/>
    </row>
    <row r="17" spans="1:10" ht="10.5">
      <c r="A17" s="30"/>
      <c r="B17" s="51" t="s">
        <v>120</v>
      </c>
      <c r="C17" s="51"/>
      <c r="D17" s="51"/>
      <c r="E17" s="51"/>
      <c r="F17" s="51"/>
      <c r="G17" s="51"/>
      <c r="H17" s="51"/>
      <c r="I17" s="51"/>
      <c r="J17" s="51"/>
    </row>
    <row r="18" spans="1:10" ht="10.5">
      <c r="A18" s="30"/>
      <c r="B18" s="51"/>
      <c r="C18" s="51"/>
      <c r="D18" s="51"/>
      <c r="E18" s="51"/>
      <c r="F18" s="51"/>
      <c r="G18" s="51"/>
      <c r="H18" s="51"/>
      <c r="I18" s="51"/>
      <c r="J18" s="51"/>
    </row>
    <row r="19" spans="1:30" ht="10.5">
      <c r="A19" s="24" t="str">
        <f>'Форма 4'!A188</f>
        <v>8.</v>
      </c>
      <c r="B19" s="24">
        <f>ROUND(C19+D19+F19,2)</f>
        <v>2972.68</v>
      </c>
      <c r="C19" s="24">
        <f>'Форма 4'!D189</f>
        <v>0</v>
      </c>
      <c r="D19" s="24">
        <f>'Форма 4'!E188</f>
        <v>2972.68</v>
      </c>
      <c r="E19" s="24">
        <f>'Форма 4'!E189</f>
        <v>1702.3</v>
      </c>
      <c r="F19" s="24">
        <v>0</v>
      </c>
      <c r="G19" s="24">
        <v>0</v>
      </c>
      <c r="H19" s="24">
        <v>0</v>
      </c>
      <c r="I19" s="25">
        <f>'Форма 4'!I188</f>
        <v>0</v>
      </c>
      <c r="J19" s="25">
        <v>0</v>
      </c>
      <c r="K19" s="25">
        <f>'Форма 4'!I189</f>
        <v>127.03763</v>
      </c>
      <c r="L19" s="24">
        <v>0</v>
      </c>
      <c r="M19" s="24">
        <v>0</v>
      </c>
      <c r="N19" s="24">
        <v>1361.84</v>
      </c>
      <c r="O19" s="24">
        <v>646.87</v>
      </c>
      <c r="P19" s="24">
        <v>0</v>
      </c>
      <c r="Q19" s="24">
        <v>1361.84</v>
      </c>
      <c r="R19" s="24">
        <v>0</v>
      </c>
      <c r="S19" s="24">
        <v>646.87</v>
      </c>
      <c r="T19" s="24">
        <v>0</v>
      </c>
      <c r="U19" s="24">
        <v>0</v>
      </c>
      <c r="V19" s="24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</row>
    <row r="20" spans="1:30" ht="10.5">
      <c r="A20" s="24" t="str">
        <f>'Форма 4'!A198</f>
        <v>9.</v>
      </c>
      <c r="B20" s="24">
        <f>ROUND(C20+D20+F20,2)</f>
        <v>62.48</v>
      </c>
      <c r="C20" s="24">
        <f>'Форма 4'!D199</f>
        <v>62.48</v>
      </c>
      <c r="D20" s="24">
        <f>'Форма 4'!E198</f>
        <v>0</v>
      </c>
      <c r="E20" s="24">
        <f>'Форма 4'!E199</f>
        <v>0</v>
      </c>
      <c r="F20" s="24">
        <v>0</v>
      </c>
      <c r="G20" s="24">
        <v>0</v>
      </c>
      <c r="H20" s="24">
        <v>0</v>
      </c>
      <c r="I20" s="25">
        <f>'Форма 4'!I198</f>
        <v>6.3825</v>
      </c>
      <c r="J20" s="25">
        <v>0</v>
      </c>
      <c r="K20" s="25">
        <f>'Форма 4'!I199</f>
        <v>0</v>
      </c>
      <c r="L20" s="24">
        <v>0</v>
      </c>
      <c r="M20" s="24">
        <v>0</v>
      </c>
      <c r="N20" s="24">
        <v>46.24</v>
      </c>
      <c r="O20" s="24">
        <v>31.24</v>
      </c>
      <c r="P20" s="24">
        <v>46.24</v>
      </c>
      <c r="Q20" s="24">
        <v>0</v>
      </c>
      <c r="R20" s="24">
        <v>31.24</v>
      </c>
      <c r="S20" s="24">
        <v>0</v>
      </c>
      <c r="T20" s="24">
        <v>0</v>
      </c>
      <c r="U20" s="24">
        <v>0</v>
      </c>
      <c r="V20" s="24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</row>
    <row r="21" spans="1:30" ht="10.5">
      <c r="A21" s="24" t="str">
        <f>'Форма 4'!A207</f>
        <v>10.</v>
      </c>
      <c r="B21" s="24">
        <f>ROUND(C21+D21+F21,2)</f>
        <v>358.16</v>
      </c>
      <c r="C21" s="24">
        <f>'Форма 4'!D208</f>
        <v>112.77</v>
      </c>
      <c r="D21" s="24">
        <f>'Форма 4'!E207</f>
        <v>243.88</v>
      </c>
      <c r="E21" s="24">
        <f>'Форма 4'!E208</f>
        <v>26.85</v>
      </c>
      <c r="F21" s="24">
        <v>1.51</v>
      </c>
      <c r="G21" s="24">
        <v>0</v>
      </c>
      <c r="H21" s="24">
        <v>0</v>
      </c>
      <c r="I21" s="25">
        <f>'Форма 4'!I207</f>
        <v>10.833</v>
      </c>
      <c r="J21" s="25">
        <v>0</v>
      </c>
      <c r="K21" s="25">
        <f>'Форма 4'!I208</f>
        <v>1.6445</v>
      </c>
      <c r="L21" s="24">
        <v>0</v>
      </c>
      <c r="M21" s="24">
        <v>0</v>
      </c>
      <c r="N21" s="24">
        <v>150.79</v>
      </c>
      <c r="O21" s="24">
        <v>94.94</v>
      </c>
      <c r="P21" s="24">
        <v>121.79</v>
      </c>
      <c r="Q21" s="24">
        <v>29</v>
      </c>
      <c r="R21" s="24">
        <v>76.68</v>
      </c>
      <c r="S21" s="24">
        <v>18.26</v>
      </c>
      <c r="T21" s="24">
        <v>0</v>
      </c>
      <c r="U21" s="24">
        <v>0</v>
      </c>
      <c r="V21" s="24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</row>
    <row r="22" spans="1:30" ht="10.5">
      <c r="A22" s="24" t="str">
        <f>'Форма 4'!A216</f>
        <v>11.</v>
      </c>
      <c r="B22" s="24">
        <f>ROUND(C22+D22+F22,2)</f>
        <v>2888.2</v>
      </c>
      <c r="C22" s="24">
        <f>'Форма 4'!D217</f>
        <v>131.19</v>
      </c>
      <c r="D22" s="24">
        <f>'Форма 4'!E216</f>
        <v>429.99</v>
      </c>
      <c r="E22" s="24">
        <f>'Форма 4'!E217</f>
        <v>41.08</v>
      </c>
      <c r="F22" s="24">
        <v>2327.02</v>
      </c>
      <c r="G22" s="24">
        <v>0</v>
      </c>
      <c r="H22" s="24">
        <v>0</v>
      </c>
      <c r="I22" s="25">
        <f>'Форма 4'!I216</f>
        <v>9.746825</v>
      </c>
      <c r="J22" s="25">
        <v>0</v>
      </c>
      <c r="K22" s="25">
        <f>'Форма 4'!I217</f>
        <v>2.84625</v>
      </c>
      <c r="L22" s="24">
        <v>0</v>
      </c>
      <c r="M22" s="24">
        <v>0</v>
      </c>
      <c r="N22" s="24">
        <v>223.95</v>
      </c>
      <c r="O22" s="24">
        <v>130.93</v>
      </c>
      <c r="P22" s="24">
        <v>170.55</v>
      </c>
      <c r="Q22" s="24">
        <v>53.4</v>
      </c>
      <c r="R22" s="24">
        <v>99.7</v>
      </c>
      <c r="S22" s="24">
        <v>31.23</v>
      </c>
      <c r="T22" s="24">
        <v>0</v>
      </c>
      <c r="U22" s="24">
        <v>0</v>
      </c>
      <c r="V22" s="24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</row>
  </sheetData>
  <mergeCells count="6">
    <mergeCell ref="B7:J8"/>
    <mergeCell ref="B17:J18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22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141</v>
      </c>
      <c r="C1" s="29" t="s">
        <v>142</v>
      </c>
      <c r="D1" s="29" t="s">
        <v>143</v>
      </c>
      <c r="E1" s="29" t="s">
        <v>144</v>
      </c>
      <c r="F1" s="29" t="s">
        <v>145</v>
      </c>
      <c r="G1" s="29" t="s">
        <v>146</v>
      </c>
      <c r="H1" s="29" t="s">
        <v>147</v>
      </c>
      <c r="I1" s="29" t="s">
        <v>148</v>
      </c>
      <c r="J1" s="29" t="s">
        <v>149</v>
      </c>
      <c r="K1" s="29" t="s">
        <v>150</v>
      </c>
      <c r="L1" s="29" t="s">
        <v>151</v>
      </c>
      <c r="M1" s="29" t="s">
        <v>152</v>
      </c>
      <c r="N1" s="29" t="s">
        <v>153</v>
      </c>
      <c r="O1" s="29" t="s">
        <v>154</v>
      </c>
      <c r="P1" s="29" t="s">
        <v>155</v>
      </c>
      <c r="Q1" s="29" t="s">
        <v>156</v>
      </c>
      <c r="R1" s="29" t="s">
        <v>157</v>
      </c>
      <c r="S1" s="29" t="s">
        <v>158</v>
      </c>
      <c r="T1" s="29" t="s">
        <v>159</v>
      </c>
      <c r="U1" s="29" t="s">
        <v>160</v>
      </c>
      <c r="V1" s="29" t="s">
        <v>161</v>
      </c>
      <c r="W1" s="29"/>
      <c r="X1" s="29" t="s">
        <v>162</v>
      </c>
      <c r="Y1" s="29" t="s">
        <v>163</v>
      </c>
      <c r="Z1" s="29" t="s">
        <v>164</v>
      </c>
      <c r="AA1" s="29" t="s">
        <v>165</v>
      </c>
      <c r="AB1" s="29" t="s">
        <v>166</v>
      </c>
      <c r="AC1" s="29" t="s">
        <v>167</v>
      </c>
      <c r="AD1" s="29" t="s">
        <v>168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31"/>
      <c r="B3" s="63" t="s">
        <v>169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31"/>
      <c r="B4" s="63" t="s">
        <v>170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ht="10.5">
      <c r="A6" s="30"/>
    </row>
    <row r="7" spans="1:10" ht="10.5">
      <c r="A7" s="30"/>
      <c r="B7" s="51" t="s">
        <v>28</v>
      </c>
      <c r="C7" s="51"/>
      <c r="D7" s="51"/>
      <c r="E7" s="51"/>
      <c r="F7" s="51"/>
      <c r="G7" s="51"/>
      <c r="H7" s="51"/>
      <c r="I7" s="51"/>
      <c r="J7" s="51"/>
    </row>
    <row r="8" spans="1:10" ht="10.5">
      <c r="A8" s="30"/>
      <c r="B8" s="51"/>
      <c r="C8" s="51"/>
      <c r="D8" s="51"/>
      <c r="E8" s="51"/>
      <c r="F8" s="51"/>
      <c r="G8" s="51"/>
      <c r="H8" s="51"/>
      <c r="I8" s="51"/>
      <c r="J8" s="51"/>
    </row>
    <row r="9" spans="1:30" ht="10.5">
      <c r="A9" s="24" t="str">
        <f>'Форма 4'!A28</f>
        <v>1.</v>
      </c>
      <c r="B9" s="24">
        <f aca="true" t="shared" si="0" ref="B9:B15">ROUND(C9+D9+F9,2)</f>
        <v>31.6</v>
      </c>
      <c r="C9" s="24">
        <f>ROUND('Форма 4'!C28*'Базовые цены за единицу'!C9,2)</f>
        <v>0</v>
      </c>
      <c r="D9" s="24">
        <f>ROUND('Форма 4'!C28*'Базовые цены за единицу'!D9,2)</f>
        <v>31.6</v>
      </c>
      <c r="E9" s="24">
        <f>ROUND('Форма 4'!C28*'Базовые цены за единицу'!E9,2)</f>
        <v>6.2</v>
      </c>
      <c r="F9" s="24">
        <f>ROUND('Форма 4'!C28*'Базовые цены за единицу'!F9,2)</f>
        <v>0</v>
      </c>
      <c r="G9" s="24">
        <f>ROUND('Форма 4'!C28*'Базовые цены за единицу'!G9,2)</f>
        <v>0</v>
      </c>
      <c r="H9" s="24">
        <f>ROUND('Форма 4'!C28*'Базовые цены за единицу'!H9,2)</f>
        <v>0</v>
      </c>
      <c r="I9" s="25">
        <f>ОКРУГЛВСЕ('Форма 4'!C28*'Базовые цены за единицу'!I9,8)</f>
        <v>0</v>
      </c>
      <c r="J9" s="25">
        <f>ОКРУГЛВСЕ('Форма 4'!C28*'Базовые цены за единицу'!J9,8)</f>
        <v>0</v>
      </c>
      <c r="K9" s="25">
        <f>ОКРУГЛВСЕ('Форма 4'!C28*'Базовые цены за единицу'!K9,8)</f>
        <v>0.4424625</v>
      </c>
      <c r="L9" s="24">
        <f>ROUND('Форма 4'!C28*'Базовые цены за единицу'!L9,2)</f>
        <v>0</v>
      </c>
      <c r="M9" s="24">
        <f>ROUND('Форма 4'!C28*'Базовые цены за единицу'!M9,2)</f>
        <v>0</v>
      </c>
      <c r="N9" s="24">
        <f>ROUND((C9+E9)*'Форма 4'!C31/100,2)</f>
        <v>5.89</v>
      </c>
      <c r="O9" s="24">
        <f>ROUND((C9+E9)*'Форма 4'!C34/100,2)</f>
        <v>2.67</v>
      </c>
      <c r="P9" s="24">
        <f>ROUND('Форма 4'!C28*'Базовые цены за единицу'!P9,2)</f>
        <v>0</v>
      </c>
      <c r="Q9" s="24">
        <f>ROUND('Форма 4'!C28*'Базовые цены за единицу'!Q9,2)</f>
        <v>5.9</v>
      </c>
      <c r="R9" s="24">
        <f>ROUND('Форма 4'!C28*'Базовые цены за единицу'!R9,2)</f>
        <v>0</v>
      </c>
      <c r="S9" s="24">
        <f>ROUND('Форма 4'!C28*'Базовые цены за единицу'!S9,2)</f>
        <v>2.66</v>
      </c>
      <c r="T9" s="24">
        <f>ROUND('Форма 4'!C28*'Базовые цены за единицу'!T9,2)</f>
        <v>0</v>
      </c>
      <c r="U9" s="24">
        <f>ROUND('Форма 4'!C28*'Базовые цены за единицу'!U9,2)</f>
        <v>0</v>
      </c>
      <c r="V9" s="24">
        <f>ROUND('Форма 4'!C28*'Базовые цены за единицу'!V9,2)</f>
        <v>0</v>
      </c>
      <c r="X9" s="26">
        <f>ROUND('Форма 4'!C28*'Базовые цены за единицу'!X9,2)</f>
        <v>0</v>
      </c>
      <c r="Y9" s="26">
        <f>IF(Определители!I9="9",ROUND((C9+E9)*(Начисления!M9/100)*('Форма 4'!C31/100),2),0)</f>
        <v>0</v>
      </c>
      <c r="Z9" s="26">
        <f>IF(Определители!I9="9",ROUND((C9+E9)*(100-Начисления!M9/100)*('Форма 4'!C31/100),2),0)</f>
        <v>0</v>
      </c>
      <c r="AA9" s="26">
        <f>IF(Определители!I9="9",ROUND((C9+E9)*(Начисления!M9/100)*('Форма 4'!C34/100),2),0)</f>
        <v>0</v>
      </c>
      <c r="AB9" s="26">
        <f>IF(Определители!I9="9",ROUND((C9+E9)*(100-Начисления!M9/100)*('Форма 4'!C34/100),2),0)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4'!A38</f>
        <v>2.</v>
      </c>
      <c r="B10" s="24">
        <f t="shared" si="0"/>
        <v>2094.8</v>
      </c>
      <c r="C10" s="24">
        <f>ROUND('Форма 4'!C38*'Базовые цены за единицу'!C10,2)</f>
        <v>32.7</v>
      </c>
      <c r="D10" s="24">
        <f>ROUND('Форма 4'!C38*'Базовые цены за единицу'!D10,2)</f>
        <v>522.7</v>
      </c>
      <c r="E10" s="24">
        <f>ROUND('Форма 4'!C38*'Базовые цены за единицу'!E10,2)</f>
        <v>46.6</v>
      </c>
      <c r="F10" s="24">
        <f>ROUND('Форма 4'!C38*'Базовые цены за единицу'!F10,2)</f>
        <v>1539.4</v>
      </c>
      <c r="G10" s="24">
        <f>ROUND('Форма 4'!C38*'Базовые цены за единицу'!G10,2)</f>
        <v>0</v>
      </c>
      <c r="H10" s="24">
        <f>ROUND('Форма 4'!C38*'Базовые цены за единицу'!H10,2)</f>
        <v>0</v>
      </c>
      <c r="I10" s="25">
        <f>ОКРУГЛВСЕ('Форма 4'!C38*'Базовые цены за единицу'!I10,8)</f>
        <v>3.199127</v>
      </c>
      <c r="J10" s="25">
        <f>ОКРУГЛВСЕ('Форма 4'!C38*'Базовые цены за единицу'!J10,8)</f>
        <v>0</v>
      </c>
      <c r="K10" s="25">
        <f>ОКРУГЛВСЕ('Форма 4'!C38*'Базовые цены за единицу'!K10,8)</f>
        <v>2.961251</v>
      </c>
      <c r="L10" s="24">
        <f>ROUND('Форма 4'!C38*'Базовые цены за единицу'!L10,2)</f>
        <v>0</v>
      </c>
      <c r="M10" s="24">
        <f>ROUND('Форма 4'!C38*'Базовые цены за единицу'!M10,2)</f>
        <v>0</v>
      </c>
      <c r="N10" s="24">
        <f>ROUND((C10+E10)*'Форма 4'!C41/100,2)</f>
        <v>112.61</v>
      </c>
      <c r="O10" s="24">
        <f>ROUND((C10+E10)*'Форма 4'!C44/100,2)</f>
        <v>64.23</v>
      </c>
      <c r="P10" s="24">
        <f>ROUND('Форма 4'!C38*'Базовые цены за единицу'!P10,2)</f>
        <v>46.4</v>
      </c>
      <c r="Q10" s="24">
        <f>ROUND('Форма 4'!C38*'Базовые цены за единицу'!Q10,2)</f>
        <v>66.2</v>
      </c>
      <c r="R10" s="24">
        <f>ROUND('Форма 4'!C38*'Базовые цены за единицу'!R10,2)</f>
        <v>26.5</v>
      </c>
      <c r="S10" s="24">
        <f>ROUND('Форма 4'!C38*'Базовые цены за единицу'!S10,2)</f>
        <v>37.7</v>
      </c>
      <c r="T10" s="24">
        <f>ROUND('Форма 4'!C38*'Базовые цены за единицу'!T10,2)</f>
        <v>0</v>
      </c>
      <c r="U10" s="24">
        <f>ROUND('Форма 4'!C38*'Базовые цены за единицу'!U10,2)</f>
        <v>0</v>
      </c>
      <c r="V10" s="24">
        <f>ROUND('Форма 4'!C38*'Базовые цены за единицу'!V10,2)</f>
        <v>0</v>
      </c>
      <c r="X10" s="26">
        <f>ROUND('Форма 4'!C38*'Базовые цены за единицу'!X10,2)</f>
        <v>0</v>
      </c>
      <c r="Y10" s="26">
        <f>IF(Определители!I10="9",ROUND((C10+E10)*(Начисления!M10/100)*('Форма 4'!C41/100),2),0)</f>
        <v>0</v>
      </c>
      <c r="Z10" s="26">
        <f>IF(Определители!I10="9",ROUND((C10+E10)*(100-Начисления!M10/100)*('Форма 4'!C41/100),2),0)</f>
        <v>0</v>
      </c>
      <c r="AA10" s="26">
        <f>IF(Определители!I10="9",ROUND((C10+E10)*(Начисления!M10/100)*('Форма 4'!C44/100),2),0)</f>
        <v>0</v>
      </c>
      <c r="AB10" s="26">
        <f>IF(Определители!I10="9",ROUND((C10+E10)*(100-Начисления!M10/100)*('Форма 4'!C44/100),2),0)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  <row r="11" spans="1:30" ht="10.5">
      <c r="A11" s="24" t="str">
        <f>'Форма 4'!A48</f>
        <v>3.</v>
      </c>
      <c r="B11" s="24">
        <f t="shared" si="0"/>
        <v>3099.93</v>
      </c>
      <c r="C11" s="24">
        <f>ROUND('Форма 4'!C48*'Базовые цены за единицу'!C11,2)</f>
        <v>30.82</v>
      </c>
      <c r="D11" s="24">
        <f>ROUND('Форма 4'!C48*'Базовые цены за единицу'!D11,2)</f>
        <v>180.2</v>
      </c>
      <c r="E11" s="24">
        <f>ROUND('Форма 4'!C48*'Базовые цены за единицу'!E11,2)</f>
        <v>21.68</v>
      </c>
      <c r="F11" s="24">
        <f>ROUND('Форма 4'!C48*'Базовые цены за единицу'!F11,2)</f>
        <v>2888.91</v>
      </c>
      <c r="G11" s="24">
        <f>ROUND('Форма 4'!C48*'Базовые цены за единицу'!G11,2)</f>
        <v>0</v>
      </c>
      <c r="H11" s="24">
        <f>ROUND('Форма 4'!C48*'Базовые цены за единицу'!H11,2)</f>
        <v>0</v>
      </c>
      <c r="I11" s="25">
        <f>ОКРУГЛВСЕ('Форма 4'!C48*'Базовые цены за единицу'!I11,8)</f>
        <v>2.5325875</v>
      </c>
      <c r="J11" s="25">
        <f>ОКРУГЛВСЕ('Форма 4'!C48*'Базовые цены за единицу'!J11,8)</f>
        <v>0</v>
      </c>
      <c r="K11" s="25">
        <f>ОКРУГЛВСЕ('Форма 4'!C48*'Базовые цены за единицу'!K11,8)</f>
        <v>1.371375</v>
      </c>
      <c r="L11" s="24">
        <f>ROUND('Форма 4'!C48*'Базовые цены за единицу'!L11,2)</f>
        <v>0</v>
      </c>
      <c r="M11" s="24">
        <f>ROUND('Форма 4'!C48*'Базовые цены за единицу'!M11,2)</f>
        <v>0</v>
      </c>
      <c r="N11" s="24">
        <f>ROUND((C11+E11)*'Форма 4'!C51/100,2)</f>
        <v>74.55</v>
      </c>
      <c r="O11" s="24">
        <f>ROUND((C11+E11)*'Форма 4'!C54/100,2)</f>
        <v>42.53</v>
      </c>
      <c r="P11" s="24">
        <f>ROUND('Форма 4'!C48*'Базовые цены за единицу'!P11,2)</f>
        <v>43.77</v>
      </c>
      <c r="Q11" s="24">
        <f>ROUND('Форма 4'!C48*'Базовые цены за единицу'!Q11,2)</f>
        <v>30.79</v>
      </c>
      <c r="R11" s="24">
        <f>ROUND('Форма 4'!C48*'Базовые цены за единицу'!R11,2)</f>
        <v>24.97</v>
      </c>
      <c r="S11" s="24">
        <f>ROUND('Форма 4'!C48*'Базовые цены за единицу'!S11,2)</f>
        <v>17.56</v>
      </c>
      <c r="T11" s="24">
        <f>ROUND('Форма 4'!C48*'Базовые цены за единицу'!T11,2)</f>
        <v>0</v>
      </c>
      <c r="U11" s="24">
        <f>ROUND('Форма 4'!C48*'Базовые цены за единицу'!U11,2)</f>
        <v>0</v>
      </c>
      <c r="V11" s="24">
        <f>ROUND('Форма 4'!C48*'Базовые цены за единицу'!V11,2)</f>
        <v>0</v>
      </c>
      <c r="X11" s="26">
        <f>ROUND('Форма 4'!C48*'Базовые цены за единицу'!X11,2)</f>
        <v>0</v>
      </c>
      <c r="Y11" s="26">
        <f>IF(Определители!I11="9",ROUND((C11+E11)*(Начисления!M11/100)*('Форма 4'!C51/100),2),0)</f>
        <v>0</v>
      </c>
      <c r="Z11" s="26">
        <f>IF(Определители!I11="9",ROUND((C11+E11)*(100-Начисления!M11/100)*('Форма 4'!C51/100),2),0)</f>
        <v>0</v>
      </c>
      <c r="AA11" s="26">
        <f>IF(Определители!I11="9",ROUND((C11+E11)*(Начисления!M11/100)*('Форма 4'!C54/100),2),0)</f>
        <v>0</v>
      </c>
      <c r="AB11" s="26">
        <f>IF(Определители!I11="9",ROUND((C11+E11)*(100-Начисления!M11/100)*('Форма 4'!C54/100),2),0)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</row>
    <row r="12" spans="1:30" ht="10.5">
      <c r="A12" s="24" t="str">
        <f>'Форма 4'!A58</f>
        <v>4.</v>
      </c>
      <c r="B12" s="24">
        <f t="shared" si="0"/>
        <v>1434.79</v>
      </c>
      <c r="C12" s="24">
        <f>ROUND('Форма 4'!C58*'Базовые цены за единицу'!C12,2)</f>
        <v>0.29</v>
      </c>
      <c r="D12" s="24">
        <f>ROUND('Форма 4'!C58*'Базовые цены за единицу'!D12,2)</f>
        <v>0.97</v>
      </c>
      <c r="E12" s="24">
        <f>ROUND('Форма 4'!C58*'Базовые цены за единицу'!E12,2)</f>
        <v>0</v>
      </c>
      <c r="F12" s="24">
        <f>ROUND('Форма 4'!C58*'Базовые цены за единицу'!F12,2)</f>
        <v>1433.53</v>
      </c>
      <c r="G12" s="24">
        <f>ROUND('Форма 4'!C58*'Базовые цены за единицу'!G12,2)</f>
        <v>0</v>
      </c>
      <c r="H12" s="24">
        <f>ROUND('Форма 4'!C58*'Базовые цены за единицу'!H12,2)</f>
        <v>0</v>
      </c>
      <c r="I12" s="25">
        <f>ОКРУГЛВСЕ('Форма 4'!C58*'Базовые цены за единицу'!I12,8)</f>
        <v>0.023805</v>
      </c>
      <c r="J12" s="25">
        <f>ОКРУГЛВСЕ('Форма 4'!C58*'Базовые цены за единицу'!J12,8)</f>
        <v>0</v>
      </c>
      <c r="K12" s="25">
        <f>ОКРУГЛВСЕ('Форма 4'!C58*'Базовые цены за единицу'!K12,8)</f>
        <v>0</v>
      </c>
      <c r="L12" s="24">
        <f>ROUND('Форма 4'!C58*'Базовые цены за единицу'!L12,2)</f>
        <v>0</v>
      </c>
      <c r="M12" s="24">
        <f>ROUND('Форма 4'!C58*'Базовые цены за единицу'!M12,2)</f>
        <v>0</v>
      </c>
      <c r="N12" s="24">
        <f>ROUND((C12+E12)*'Форма 4'!C62/100,2)</f>
        <v>0.41</v>
      </c>
      <c r="O12" s="24">
        <f>ROUND((C12+E12)*'Форма 4'!C65/100,2)</f>
        <v>0.23</v>
      </c>
      <c r="P12" s="24">
        <f>ROUND('Форма 4'!C58*'Базовые цены за единицу'!P12,2)</f>
        <v>0.41</v>
      </c>
      <c r="Q12" s="24">
        <f>ROUND('Форма 4'!C58*'Базовые цены за единицу'!Q12,2)</f>
        <v>0</v>
      </c>
      <c r="R12" s="24">
        <f>ROUND('Форма 4'!C58*'Базовые цены за единицу'!R12,2)</f>
        <v>0.23</v>
      </c>
      <c r="S12" s="24">
        <f>ROUND('Форма 4'!C58*'Базовые цены за единицу'!S12,2)</f>
        <v>0</v>
      </c>
      <c r="T12" s="24">
        <f>ROUND('Форма 4'!C58*'Базовые цены за единицу'!T12,2)</f>
        <v>0</v>
      </c>
      <c r="U12" s="24">
        <f>ROUND('Форма 4'!C58*'Базовые цены за единицу'!U12,2)</f>
        <v>0</v>
      </c>
      <c r="V12" s="24">
        <f>ROUND('Форма 4'!C58*'Базовые цены за единицу'!V12,2)</f>
        <v>0</v>
      </c>
      <c r="X12" s="26">
        <f>ROUND('Форма 4'!C58*'Базовые цены за единицу'!X12,2)</f>
        <v>0</v>
      </c>
      <c r="Y12" s="26">
        <f>IF(Определители!I12="9",ROUND((C12+E12)*(Начисления!M12/100)*('Форма 4'!C62/100),2),0)</f>
        <v>0</v>
      </c>
      <c r="Z12" s="26">
        <f>IF(Определители!I12="9",ROUND((C12+E12)*(100-Начисления!M12/100)*('Форма 4'!C62/100),2),0)</f>
        <v>0</v>
      </c>
      <c r="AA12" s="26">
        <f>IF(Определители!I12="9",ROUND((C12+E12)*(Начисления!M12/100)*('Форма 4'!C65/100),2),0)</f>
        <v>0</v>
      </c>
      <c r="AB12" s="26">
        <f>IF(Определители!I12="9",ROUND((C12+E12)*(100-Начисления!M12/100)*('Форма 4'!C65/100),2),0)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</row>
    <row r="13" spans="1:30" ht="10.5">
      <c r="A13" s="24" t="str">
        <f>'Форма 4'!A69</f>
        <v>5.</v>
      </c>
      <c r="B13" s="24">
        <f t="shared" si="0"/>
        <v>507.87</v>
      </c>
      <c r="C13" s="24">
        <f>ROUND('Форма 4'!C69*'Базовые цены за единицу'!C13,2)</f>
        <v>0</v>
      </c>
      <c r="D13" s="24">
        <f>ROUND('Форма 4'!C69*'Базовые цены за единицу'!D13,2)</f>
        <v>8.83</v>
      </c>
      <c r="E13" s="24">
        <f>ROUND('Форма 4'!C69*'Базовые цены за единицу'!E13,2)</f>
        <v>1.86</v>
      </c>
      <c r="F13" s="24">
        <f>ROUND('Форма 4'!C69*'Базовые цены за единицу'!F13,2)</f>
        <v>499.04</v>
      </c>
      <c r="G13" s="24">
        <f>ROUND('Форма 4'!C69*'Базовые цены за единицу'!G13,2)</f>
        <v>0</v>
      </c>
      <c r="H13" s="24">
        <f>ROUND('Форма 4'!C69*'Базовые цены за единицу'!H13,2)</f>
        <v>0</v>
      </c>
      <c r="I13" s="25">
        <f>ОКРУГЛВСЕ('Форма 4'!C69*'Базовые цены за единицу'!I13,8)</f>
        <v>0</v>
      </c>
      <c r="J13" s="25">
        <f>ОКРУГЛВСЕ('Форма 4'!C69*'Базовые цены за единицу'!J13,8)</f>
        <v>0</v>
      </c>
      <c r="K13" s="25">
        <f>ОКРУГЛВСЕ('Форма 4'!C69*'Базовые цены за единицу'!K13,8)</f>
        <v>0.1423125</v>
      </c>
      <c r="L13" s="24">
        <f>ROUND('Форма 4'!C69*'Базовые цены за единицу'!L13,2)</f>
        <v>0</v>
      </c>
      <c r="M13" s="24">
        <f>ROUND('Форма 4'!C69*'Базовые цены за единицу'!M13,2)</f>
        <v>0</v>
      </c>
      <c r="N13" s="24">
        <f>ROUND((C13+E13)*'Форма 4'!C73/100,2)</f>
        <v>2.64</v>
      </c>
      <c r="O13" s="24">
        <f>ROUND((C13+E13)*'Форма 4'!C76/100,2)</f>
        <v>1.51</v>
      </c>
      <c r="P13" s="24">
        <f>ROUND('Форма 4'!C69*'Базовые цены за единицу'!P13,2)</f>
        <v>0</v>
      </c>
      <c r="Q13" s="24">
        <f>ROUND('Форма 4'!C69*'Базовые цены за единицу'!Q13,2)</f>
        <v>2.65</v>
      </c>
      <c r="R13" s="24">
        <f>ROUND('Форма 4'!C69*'Базовые цены за единицу'!R13,2)</f>
        <v>0</v>
      </c>
      <c r="S13" s="24">
        <f>ROUND('Форма 4'!C69*'Базовые цены за единицу'!S13,2)</f>
        <v>1.51</v>
      </c>
      <c r="T13" s="24">
        <f>ROUND('Форма 4'!C69*'Базовые цены за единицу'!T13,2)</f>
        <v>0</v>
      </c>
      <c r="U13" s="24">
        <f>ROUND('Форма 4'!C69*'Базовые цены за единицу'!U13,2)</f>
        <v>0</v>
      </c>
      <c r="V13" s="24">
        <f>ROUND('Форма 4'!C69*'Базовые цены за единицу'!V13,2)</f>
        <v>0</v>
      </c>
      <c r="X13" s="26">
        <f>ROUND('Форма 4'!C69*'Базовые цены за единицу'!X13,2)</f>
        <v>0</v>
      </c>
      <c r="Y13" s="26">
        <f>IF(Определители!I13="9",ROUND((C13+E13)*(Начисления!M13/100)*('Форма 4'!C73/100),2),0)</f>
        <v>0</v>
      </c>
      <c r="Z13" s="26">
        <f>IF(Определители!I13="9",ROUND((C13+E13)*(100-Начисления!M13/100)*('Форма 4'!C73/100),2),0)</f>
        <v>0</v>
      </c>
      <c r="AA13" s="26">
        <f>IF(Определители!I13="9",ROUND((C13+E13)*(Начисления!M13/100)*('Форма 4'!C76/100),2),0)</f>
        <v>0</v>
      </c>
      <c r="AB13" s="26">
        <f>IF(Определители!I13="9",ROUND((C13+E13)*(100-Начисления!M13/100)*('Форма 4'!C76/100),2),0)</f>
        <v>0</v>
      </c>
      <c r="AC13" s="26">
        <f>IF(Определители!I13="9",ROUND(B13*Начисления!M13/100,2),0)</f>
        <v>0</v>
      </c>
      <c r="AD13" s="26">
        <f>IF(Определители!I13="9",ROUND(B13*(100-Начисления!M13)/100,2),0)</f>
        <v>0</v>
      </c>
    </row>
    <row r="14" spans="1:30" ht="10.5">
      <c r="A14" s="24" t="str">
        <f>'Форма 4'!A80</f>
        <v>6.</v>
      </c>
      <c r="B14" s="24">
        <f t="shared" si="0"/>
        <v>200.47</v>
      </c>
      <c r="C14" s="24">
        <f>ROUND('Форма 4'!C80*'Базовые цены за единицу'!C14,2)</f>
        <v>0</v>
      </c>
      <c r="D14" s="24">
        <f>ROUND('Форма 4'!C80*'Базовые цены за единицу'!D14,2)</f>
        <v>200.47</v>
      </c>
      <c r="E14" s="24">
        <f>ROUND('Форма 4'!C80*'Базовые цены за единицу'!E14,2)</f>
        <v>0</v>
      </c>
      <c r="F14" s="24">
        <f>ROUND('Форма 4'!C80*'Базовые цены за единицу'!F14,2)</f>
        <v>0</v>
      </c>
      <c r="G14" s="24">
        <f>ROUND('Форма 4'!C80*'Базовые цены за единицу'!G14,2)</f>
        <v>0</v>
      </c>
      <c r="H14" s="24">
        <f>ROUND('Форма 4'!C80*'Базовые цены за единицу'!H14,2)</f>
        <v>0</v>
      </c>
      <c r="I14" s="25">
        <f>ОКРУГЛВСЕ('Форма 4'!C80*'Базовые цены за единицу'!I14,8)</f>
        <v>0</v>
      </c>
      <c r="J14" s="25">
        <f>ОКРУГЛВСЕ('Форма 4'!C80*'Базовые цены за единицу'!J14,8)</f>
        <v>0</v>
      </c>
      <c r="K14" s="25">
        <f>ОКРУГЛВСЕ('Форма 4'!C80*'Базовые цены за единицу'!K14,8)</f>
        <v>0</v>
      </c>
      <c r="L14" s="24">
        <f>ROUND('Форма 4'!C80*'Базовые цены за единицу'!L14,2)</f>
        <v>0</v>
      </c>
      <c r="M14" s="24">
        <f>ROUND('Форма 4'!C80*'Базовые цены за единицу'!M14,2)</f>
        <v>0</v>
      </c>
      <c r="N14" s="24">
        <f>ROUND((C14+E14)*'Форма 4'!C83/100,2)</f>
        <v>0</v>
      </c>
      <c r="O14" s="24">
        <f>ROUND((C14+E14)*'Форма 4'!C86/100,2)</f>
        <v>0</v>
      </c>
      <c r="P14" s="24">
        <f>ROUND('Форма 4'!C80*'Базовые цены за единицу'!P14,2)</f>
        <v>0</v>
      </c>
      <c r="Q14" s="24">
        <f>ROUND('Форма 4'!C80*'Базовые цены за единицу'!Q14,2)</f>
        <v>0</v>
      </c>
      <c r="R14" s="24">
        <f>ROUND('Форма 4'!C80*'Базовые цены за единицу'!R14,2)</f>
        <v>0</v>
      </c>
      <c r="S14" s="24">
        <f>ROUND('Форма 4'!C80*'Базовые цены за единицу'!S14,2)</f>
        <v>0</v>
      </c>
      <c r="T14" s="24">
        <f>ROUND('Форма 4'!C80*'Базовые цены за единицу'!T14,2)</f>
        <v>0</v>
      </c>
      <c r="U14" s="24">
        <f>ROUND('Форма 4'!C80*'Базовые цены за единицу'!U14,2)</f>
        <v>0</v>
      </c>
      <c r="V14" s="24">
        <f>ROUND('Форма 4'!C80*'Базовые цены за единицу'!V14,2)</f>
        <v>0</v>
      </c>
      <c r="X14" s="26">
        <f>ROUND('Форма 4'!C80*'Базовые цены за единицу'!X14,2)</f>
        <v>0</v>
      </c>
      <c r="Y14" s="26">
        <f>IF(Определители!I14="9",ROUND((C14+E14)*(Начисления!M14/100)*('Форма 4'!C83/100),2),0)</f>
        <v>0</v>
      </c>
      <c r="Z14" s="26">
        <f>IF(Определители!I14="9",ROUND((C14+E14)*(100-Начисления!M14/100)*('Форма 4'!C83/100),2),0)</f>
        <v>0</v>
      </c>
      <c r="AA14" s="26">
        <f>IF(Определители!I14="9",ROUND((C14+E14)*(Начисления!M14/100)*('Форма 4'!C86/100),2),0)</f>
        <v>0</v>
      </c>
      <c r="AB14" s="26">
        <f>IF(Определители!I14="9",ROUND((C14+E14)*(100-Начисления!M14/100)*('Форма 4'!C86/100),2),0)</f>
        <v>0</v>
      </c>
      <c r="AC14" s="26">
        <f>IF(Определители!I14="9",ROUND(B14*Начисления!M14/100,2),0)</f>
        <v>0</v>
      </c>
      <c r="AD14" s="26">
        <f>IF(Определители!I14="9",ROUND(B14*(100-Начисления!M14)/100,2),0)</f>
        <v>0</v>
      </c>
    </row>
    <row r="15" spans="1:30" ht="10.5">
      <c r="A15" s="24" t="str">
        <f>'Форма 4'!A90</f>
        <v>7.</v>
      </c>
      <c r="B15" s="24">
        <f t="shared" si="0"/>
        <v>392</v>
      </c>
      <c r="C15" s="24">
        <f>ROUND('Форма 4'!C90*'Базовые цены за единицу'!C15,2)</f>
        <v>0</v>
      </c>
      <c r="D15" s="24">
        <f>ROUND('Форма 4'!C90*'Базовые цены за единицу'!D15,2)</f>
        <v>0</v>
      </c>
      <c r="E15" s="24">
        <f>ROUND('Форма 4'!C90*'Базовые цены за единицу'!E15,2)</f>
        <v>0</v>
      </c>
      <c r="F15" s="24">
        <f>ROUND('Форма 4'!C90*'Базовые цены за единицу'!F15,2)</f>
        <v>392</v>
      </c>
      <c r="G15" s="24">
        <f>ROUND('Форма 4'!C90*'Базовые цены за единицу'!G15,2)</f>
        <v>0</v>
      </c>
      <c r="H15" s="24">
        <f>ROUND('Форма 4'!C90*'Базовые цены за единицу'!H15,2)</f>
        <v>0</v>
      </c>
      <c r="I15" s="25">
        <f>ОКРУГЛВСЕ('Форма 4'!C90*'Базовые цены за единицу'!I15,8)</f>
        <v>0</v>
      </c>
      <c r="J15" s="25">
        <f>ОКРУГЛВСЕ('Форма 4'!C90*'Базовые цены за единицу'!J15,8)</f>
        <v>0</v>
      </c>
      <c r="K15" s="25">
        <f>ОКРУГЛВСЕ('Форма 4'!C90*'Базовые цены за единицу'!K15,8)</f>
        <v>0</v>
      </c>
      <c r="L15" s="24">
        <f>ROUND('Форма 4'!C90*'Базовые цены за единицу'!L15,2)</f>
        <v>152.53</v>
      </c>
      <c r="M15" s="24">
        <f>ROUND('Форма 4'!C90*'Базовые цены за единицу'!M15,2)</f>
        <v>0</v>
      </c>
      <c r="N15" s="24">
        <f>ROUND((C15+E15)*'Форма 4'!C93/100,2)</f>
        <v>0</v>
      </c>
      <c r="O15" s="24">
        <f>ROUND((C15+E15)*'Форма 4'!C96/100,2)</f>
        <v>0</v>
      </c>
      <c r="P15" s="24">
        <f>ROUND('Форма 4'!C90*'Базовые цены за единицу'!P15,2)</f>
        <v>0</v>
      </c>
      <c r="Q15" s="24">
        <f>ROUND('Форма 4'!C90*'Базовые цены за единицу'!Q15,2)</f>
        <v>0</v>
      </c>
      <c r="R15" s="24">
        <f>ROUND('Форма 4'!C90*'Базовые цены за единицу'!R15,2)</f>
        <v>0</v>
      </c>
      <c r="S15" s="24">
        <f>ROUND('Форма 4'!C90*'Базовые цены за единицу'!S15,2)</f>
        <v>0</v>
      </c>
      <c r="T15" s="24">
        <f>ROUND('Форма 4'!C90*'Базовые цены за единицу'!T15,2)</f>
        <v>0</v>
      </c>
      <c r="U15" s="24">
        <f>ROUND('Форма 4'!C90*'Базовые цены за единицу'!U15,2)</f>
        <v>0</v>
      </c>
      <c r="V15" s="24">
        <f>ROUND('Форма 4'!C90*'Базовые цены за единицу'!V15,2)</f>
        <v>0</v>
      </c>
      <c r="X15" s="26">
        <f>ROUND('Форма 4'!C90*'Базовые цены за единицу'!X15,2)</f>
        <v>0</v>
      </c>
      <c r="Y15" s="26">
        <f>IF(Определители!I15="9",ROUND((C15+E15)*(Начисления!M15/100)*('Форма 4'!C93/100),2),0)</f>
        <v>0</v>
      </c>
      <c r="Z15" s="26">
        <f>IF(Определители!I15="9",ROUND((C15+E15)*(100-Начисления!M15/100)*('Форма 4'!C93/100),2),0)</f>
        <v>0</v>
      </c>
      <c r="AA15" s="26">
        <f>IF(Определители!I15="9",ROUND((C15+E15)*(Начисления!M15/100)*('Форма 4'!C96/100),2),0)</f>
        <v>0</v>
      </c>
      <c r="AB15" s="26">
        <f>IF(Определители!I15="9",ROUND((C15+E15)*(100-Начисления!M15/100)*('Форма 4'!C96/100),2),0)</f>
        <v>0</v>
      </c>
      <c r="AC15" s="26">
        <f>IF(Определители!I15="9",ROUND(B15*Начисления!M15/100,2),0)</f>
        <v>0</v>
      </c>
      <c r="AD15" s="26">
        <f>IF(Определители!I15="9",ROUND(B15*(100-Начисления!M15)/100,2),0)</f>
        <v>0</v>
      </c>
    </row>
    <row r="16" ht="10.5">
      <c r="A16" s="30"/>
    </row>
    <row r="17" spans="1:10" ht="10.5">
      <c r="A17" s="30"/>
      <c r="B17" s="51" t="s">
        <v>120</v>
      </c>
      <c r="C17" s="51"/>
      <c r="D17" s="51"/>
      <c r="E17" s="51"/>
      <c r="F17" s="51"/>
      <c r="G17" s="51"/>
      <c r="H17" s="51"/>
      <c r="I17" s="51"/>
      <c r="J17" s="51"/>
    </row>
    <row r="18" spans="1:10" ht="10.5">
      <c r="A18" s="30"/>
      <c r="B18" s="51"/>
      <c r="C18" s="51"/>
      <c r="D18" s="51"/>
      <c r="E18" s="51"/>
      <c r="F18" s="51"/>
      <c r="G18" s="51"/>
      <c r="H18" s="51"/>
      <c r="I18" s="51"/>
      <c r="J18" s="51"/>
    </row>
    <row r="19" spans="1:30" ht="10.5">
      <c r="A19" s="24" t="str">
        <f>'Форма 4'!A188</f>
        <v>8.</v>
      </c>
      <c r="B19" s="24">
        <f>ROUND(C19+D19+F19,2)</f>
        <v>2972.68</v>
      </c>
      <c r="C19" s="24">
        <f>ROUND('Форма 4'!C188*'Базовые цены за единицу'!C19,2)</f>
        <v>0</v>
      </c>
      <c r="D19" s="24">
        <f>ROUND('Форма 4'!C188*'Базовые цены за единицу'!D19,2)</f>
        <v>2972.68</v>
      </c>
      <c r="E19" s="24">
        <f>ROUND('Форма 4'!C188*'Базовые цены за единицу'!E19,2)</f>
        <v>1702.3</v>
      </c>
      <c r="F19" s="24">
        <f>ROUND('Форма 4'!C188*'Базовые цены за единицу'!F19,2)</f>
        <v>0</v>
      </c>
      <c r="G19" s="24">
        <f>ROUND('Форма 4'!C188*'Базовые цены за единицу'!G19,2)</f>
        <v>0</v>
      </c>
      <c r="H19" s="24">
        <f>ROUND('Форма 4'!C188*'Базовые цены за единицу'!H19,2)</f>
        <v>0</v>
      </c>
      <c r="I19" s="25">
        <f>ОКРУГЛВСЕ('Форма 4'!C188*'Базовые цены за единицу'!I19,8)</f>
        <v>0</v>
      </c>
      <c r="J19" s="25">
        <f>ОКРУГЛВСЕ('Форма 4'!C188*'Базовые цены за единицу'!J19,8)</f>
        <v>0</v>
      </c>
      <c r="K19" s="25">
        <f>ОКРУГЛВСЕ('Форма 4'!C188*'Базовые цены за единицу'!K19,8)</f>
        <v>127.03763</v>
      </c>
      <c r="L19" s="24">
        <f>ROUND('Форма 4'!C188*'Базовые цены за единицу'!L19,2)</f>
        <v>0</v>
      </c>
      <c r="M19" s="24">
        <f>ROUND('Форма 4'!C188*'Базовые цены за единицу'!M19,2)</f>
        <v>0</v>
      </c>
      <c r="N19" s="24">
        <f>ROUND((C19+E19)*'Форма 4'!C191/100,2)</f>
        <v>1361.84</v>
      </c>
      <c r="O19" s="24">
        <f>ROUND((C19+E19)*'Форма 4'!C194/100,2)</f>
        <v>646.87</v>
      </c>
      <c r="P19" s="24">
        <f>ROUND('Форма 4'!C188*'Базовые цены за единицу'!P19,2)</f>
        <v>0</v>
      </c>
      <c r="Q19" s="24">
        <f>ROUND('Форма 4'!C188*'Базовые цены за единицу'!Q19,2)</f>
        <v>1361.84</v>
      </c>
      <c r="R19" s="24">
        <f>ROUND('Форма 4'!C188*'Базовые цены за единицу'!R19,2)</f>
        <v>0</v>
      </c>
      <c r="S19" s="24">
        <f>ROUND('Форма 4'!C188*'Базовые цены за единицу'!S19,2)</f>
        <v>646.87</v>
      </c>
      <c r="T19" s="24">
        <f>ROUND('Форма 4'!C188*'Базовые цены за единицу'!T19,2)</f>
        <v>0</v>
      </c>
      <c r="U19" s="24">
        <f>ROUND('Форма 4'!C188*'Базовые цены за единицу'!U19,2)</f>
        <v>0</v>
      </c>
      <c r="V19" s="24">
        <f>ROUND('Форма 4'!C188*'Базовые цены за единицу'!V19,2)</f>
        <v>0</v>
      </c>
      <c r="X19" s="26">
        <f>ROUND('Форма 4'!C188*'Базовые цены за единицу'!X19,2)</f>
        <v>0</v>
      </c>
      <c r="Y19" s="26">
        <f>IF(Определители!I19="9",ROUND((C19+E19)*(Начисления!M19/100)*('Форма 4'!C191/100),2),0)</f>
        <v>0</v>
      </c>
      <c r="Z19" s="26">
        <f>IF(Определители!I19="9",ROUND((C19+E19)*(100-Начисления!M19/100)*('Форма 4'!C191/100),2),0)</f>
        <v>0</v>
      </c>
      <c r="AA19" s="26">
        <f>IF(Определители!I19="9",ROUND((C19+E19)*(Начисления!M19/100)*('Форма 4'!C194/100),2),0)</f>
        <v>0</v>
      </c>
      <c r="AB19" s="26">
        <f>IF(Определители!I19="9",ROUND((C19+E19)*(100-Начисления!M19/100)*('Форма 4'!C194/100),2),0)</f>
        <v>0</v>
      </c>
      <c r="AC19" s="26">
        <f>IF(Определители!I19="9",ROUND(B19*Начисления!M19/100,2),0)</f>
        <v>0</v>
      </c>
      <c r="AD19" s="26">
        <f>IF(Определители!I19="9",ROUND(B19*(100-Начисления!M19)/100,2),0)</f>
        <v>0</v>
      </c>
    </row>
    <row r="20" spans="1:30" ht="10.5">
      <c r="A20" s="24" t="str">
        <f>'Форма 4'!A198</f>
        <v>9.</v>
      </c>
      <c r="B20" s="24">
        <f>ROUND(C20+D20+F20,2)</f>
        <v>624.8</v>
      </c>
      <c r="C20" s="24">
        <f>ROUND('Форма 4'!C198*'Базовые цены за единицу'!C20,2)</f>
        <v>624.8</v>
      </c>
      <c r="D20" s="24">
        <f>ROUND('Форма 4'!C198*'Базовые цены за единицу'!D20,2)</f>
        <v>0</v>
      </c>
      <c r="E20" s="24">
        <f>ROUND('Форма 4'!C198*'Базовые цены за единицу'!E20,2)</f>
        <v>0</v>
      </c>
      <c r="F20" s="24">
        <f>ROUND('Форма 4'!C198*'Базовые цены за единицу'!F20,2)</f>
        <v>0</v>
      </c>
      <c r="G20" s="24">
        <f>ROUND('Форма 4'!C198*'Базовые цены за единицу'!G20,2)</f>
        <v>0</v>
      </c>
      <c r="H20" s="24">
        <f>ROUND('Форма 4'!C198*'Базовые цены за единицу'!H20,2)</f>
        <v>0</v>
      </c>
      <c r="I20" s="25">
        <f>ОКРУГЛВСЕ('Форма 4'!C198*'Базовые цены за единицу'!I20,8)</f>
        <v>63.825</v>
      </c>
      <c r="J20" s="25">
        <f>ОКРУГЛВСЕ('Форма 4'!C198*'Базовые цены за единицу'!J20,8)</f>
        <v>0</v>
      </c>
      <c r="K20" s="25">
        <f>ОКРУГЛВСЕ('Форма 4'!C198*'Базовые цены за единицу'!K20,8)</f>
        <v>0</v>
      </c>
      <c r="L20" s="24">
        <f>ROUND('Форма 4'!C198*'Базовые цены за единицу'!L20,2)</f>
        <v>0</v>
      </c>
      <c r="M20" s="24">
        <f>ROUND('Форма 4'!C198*'Базовые цены за единицу'!M20,2)</f>
        <v>0</v>
      </c>
      <c r="N20" s="24">
        <f>ROUND((C20+E20)*'Форма 4'!C200/100,2)</f>
        <v>462.35</v>
      </c>
      <c r="O20" s="24">
        <f>ROUND((C20+E20)*'Форма 4'!C203/100,2)</f>
        <v>312.4</v>
      </c>
      <c r="P20" s="24">
        <f>ROUND('Форма 4'!C198*'Базовые цены за единицу'!P20,2)</f>
        <v>462.4</v>
      </c>
      <c r="Q20" s="24">
        <f>ROUND('Форма 4'!C198*'Базовые цены за единицу'!Q20,2)</f>
        <v>0</v>
      </c>
      <c r="R20" s="24">
        <f>ROUND('Форма 4'!C198*'Базовые цены за единицу'!R20,2)</f>
        <v>312.4</v>
      </c>
      <c r="S20" s="24">
        <f>ROUND('Форма 4'!C198*'Базовые цены за единицу'!S20,2)</f>
        <v>0</v>
      </c>
      <c r="T20" s="24">
        <f>ROUND('Форма 4'!C198*'Базовые цены за единицу'!T20,2)</f>
        <v>0</v>
      </c>
      <c r="U20" s="24">
        <f>ROUND('Форма 4'!C198*'Базовые цены за единицу'!U20,2)</f>
        <v>0</v>
      </c>
      <c r="V20" s="24">
        <f>ROUND('Форма 4'!C198*'Базовые цены за единицу'!V20,2)</f>
        <v>0</v>
      </c>
      <c r="X20" s="26">
        <f>ROUND('Форма 4'!C198*'Базовые цены за единицу'!X20,2)</f>
        <v>0</v>
      </c>
      <c r="Y20" s="26">
        <f>IF(Определители!I20="9",ROUND((C20+E20)*(Начисления!M20/100)*('Форма 4'!C200/100),2),0)</f>
        <v>0</v>
      </c>
      <c r="Z20" s="26">
        <f>IF(Определители!I20="9",ROUND((C20+E20)*(100-Начисления!M20/100)*('Форма 4'!C200/100),2),0)</f>
        <v>0</v>
      </c>
      <c r="AA20" s="26">
        <f>IF(Определители!I20="9",ROUND((C20+E20)*(Начисления!M20/100)*('Форма 4'!C203/100),2),0)</f>
        <v>0</v>
      </c>
      <c r="AB20" s="26">
        <f>IF(Определители!I20="9",ROUND((C20+E20)*(100-Начисления!M20/100)*('Форма 4'!C203/100),2),0)</f>
        <v>0</v>
      </c>
      <c r="AC20" s="26">
        <f>IF(Определители!I20="9",ROUND(B20*Начисления!M20/100,2),0)</f>
        <v>0</v>
      </c>
      <c r="AD20" s="26">
        <f>IF(Определители!I20="9",ROUND(B20*(100-Начисления!M20)/100,2),0)</f>
        <v>0</v>
      </c>
    </row>
    <row r="21" spans="1:30" ht="10.5">
      <c r="A21" s="24" t="str">
        <f>'Форма 4'!A207</f>
        <v>10.</v>
      </c>
      <c r="B21" s="24">
        <f>ROUND(C21+D21+F21,2)</f>
        <v>716.32</v>
      </c>
      <c r="C21" s="24">
        <f>ROUND('Форма 4'!C207*'Базовые цены за единицу'!C21,2)</f>
        <v>225.54</v>
      </c>
      <c r="D21" s="24">
        <f>ROUND('Форма 4'!C207*'Базовые цены за единицу'!D21,2)</f>
        <v>487.76</v>
      </c>
      <c r="E21" s="24">
        <f>ROUND('Форма 4'!C207*'Базовые цены за единицу'!E21,2)</f>
        <v>53.7</v>
      </c>
      <c r="F21" s="24">
        <f>ROUND('Форма 4'!C207*'Базовые цены за единицу'!F21,2)</f>
        <v>3.02</v>
      </c>
      <c r="G21" s="24">
        <f>ROUND('Форма 4'!C207*'Базовые цены за единицу'!G21,2)</f>
        <v>0</v>
      </c>
      <c r="H21" s="24">
        <f>ROUND('Форма 4'!C207*'Базовые цены за единицу'!H21,2)</f>
        <v>0</v>
      </c>
      <c r="I21" s="25">
        <f>ОКРУГЛВСЕ('Форма 4'!C207*'Базовые цены за единицу'!I21,8)</f>
        <v>21.666</v>
      </c>
      <c r="J21" s="25">
        <f>ОКРУГЛВСЕ('Форма 4'!C207*'Базовые цены за единицу'!J21,8)</f>
        <v>0</v>
      </c>
      <c r="K21" s="25">
        <f>ОКРУГЛВСЕ('Форма 4'!C207*'Базовые цены за единицу'!K21,8)</f>
        <v>3.289</v>
      </c>
      <c r="L21" s="24">
        <f>ROUND('Форма 4'!C207*'Базовые цены за единицу'!L21,2)</f>
        <v>0</v>
      </c>
      <c r="M21" s="24">
        <f>ROUND('Форма 4'!C207*'Базовые цены за единицу'!M21,2)</f>
        <v>0</v>
      </c>
      <c r="N21" s="24">
        <f>ROUND((C21+E21)*'Форма 4'!C209/100,2)</f>
        <v>301.58</v>
      </c>
      <c r="O21" s="24">
        <f>ROUND((C21+E21)*'Форма 4'!C212/100,2)</f>
        <v>189.88</v>
      </c>
      <c r="P21" s="24">
        <f>ROUND('Форма 4'!C207*'Базовые цены за единицу'!P21,2)</f>
        <v>243.58</v>
      </c>
      <c r="Q21" s="24">
        <f>ROUND('Форма 4'!C207*'Базовые цены за единицу'!Q21,2)</f>
        <v>58</v>
      </c>
      <c r="R21" s="24">
        <f>ROUND('Форма 4'!C207*'Базовые цены за единицу'!R21,2)</f>
        <v>153.36</v>
      </c>
      <c r="S21" s="24">
        <f>ROUND('Форма 4'!C207*'Базовые цены за единицу'!S21,2)</f>
        <v>36.52</v>
      </c>
      <c r="T21" s="24">
        <f>ROUND('Форма 4'!C207*'Базовые цены за единицу'!T21,2)</f>
        <v>0</v>
      </c>
      <c r="U21" s="24">
        <f>ROUND('Форма 4'!C207*'Базовые цены за единицу'!U21,2)</f>
        <v>0</v>
      </c>
      <c r="V21" s="24">
        <f>ROUND('Форма 4'!C207*'Базовые цены за единицу'!V21,2)</f>
        <v>0</v>
      </c>
      <c r="X21" s="26">
        <f>ROUND('Форма 4'!C207*'Базовые цены за единицу'!X21,2)</f>
        <v>0</v>
      </c>
      <c r="Y21" s="26">
        <f>IF(Определители!I21="9",ROUND((C21+E21)*(Начисления!M21/100)*('Форма 4'!C209/100),2),0)</f>
        <v>0</v>
      </c>
      <c r="Z21" s="26">
        <f>IF(Определители!I21="9",ROUND((C21+E21)*(100-Начисления!M21/100)*('Форма 4'!C209/100),2),0)</f>
        <v>0</v>
      </c>
      <c r="AA21" s="26">
        <f>IF(Определители!I21="9",ROUND((C21+E21)*(Начисления!M21/100)*('Форма 4'!C212/100),2),0)</f>
        <v>0</v>
      </c>
      <c r="AB21" s="26">
        <f>IF(Определители!I21="9",ROUND((C21+E21)*(100-Начисления!M21/100)*('Форма 4'!C212/100),2),0)</f>
        <v>0</v>
      </c>
      <c r="AC21" s="26">
        <f>IF(Определители!I21="9",ROUND(B21*Начисления!M21/100,2),0)</f>
        <v>0</v>
      </c>
      <c r="AD21" s="26">
        <f>IF(Определители!I21="9",ROUND(B21*(100-Начисления!M21)/100,2),0)</f>
        <v>0</v>
      </c>
    </row>
    <row r="22" spans="1:30" ht="10.5">
      <c r="A22" s="24" t="str">
        <f>'Форма 4'!A216</f>
        <v>11.</v>
      </c>
      <c r="B22" s="24">
        <f>ROUND(C22+D22+F22,2)</f>
        <v>5776.4</v>
      </c>
      <c r="C22" s="24">
        <f>ROUND('Форма 4'!C216*'Базовые цены за единицу'!C22,2)</f>
        <v>262.38</v>
      </c>
      <c r="D22" s="24">
        <f>ROUND('Форма 4'!C216*'Базовые цены за единицу'!D22,2)</f>
        <v>859.98</v>
      </c>
      <c r="E22" s="24">
        <f>ROUND('Форма 4'!C216*'Базовые цены за единицу'!E22,2)</f>
        <v>82.16</v>
      </c>
      <c r="F22" s="24">
        <f>ROUND('Форма 4'!C216*'Базовые цены за единицу'!F22,2)</f>
        <v>4654.04</v>
      </c>
      <c r="G22" s="24">
        <f>ROUND('Форма 4'!C216*'Базовые цены за единицу'!G22,2)</f>
        <v>0</v>
      </c>
      <c r="H22" s="24">
        <f>ROUND('Форма 4'!C216*'Базовые цены за единицу'!H22,2)</f>
        <v>0</v>
      </c>
      <c r="I22" s="25">
        <f>ОКРУГЛВСЕ('Форма 4'!C216*'Базовые цены за единицу'!I22,8)</f>
        <v>19.49365</v>
      </c>
      <c r="J22" s="25">
        <f>ОКРУГЛВСЕ('Форма 4'!C216*'Базовые цены за единицу'!J22,8)</f>
        <v>0</v>
      </c>
      <c r="K22" s="25">
        <f>ОКРУГЛВСЕ('Форма 4'!C216*'Базовые цены за единицу'!K22,8)</f>
        <v>5.6925</v>
      </c>
      <c r="L22" s="24">
        <f>ROUND('Форма 4'!C216*'Базовые цены за единицу'!L22,2)</f>
        <v>0</v>
      </c>
      <c r="M22" s="24">
        <f>ROUND('Форма 4'!C216*'Базовые цены за единицу'!M22,2)</f>
        <v>0</v>
      </c>
      <c r="N22" s="24">
        <f>ROUND((C22+E22)*'Форма 4'!C219/100,2)</f>
        <v>447.9</v>
      </c>
      <c r="O22" s="24">
        <f>ROUND((C22+E22)*'Форма 4'!C222/100,2)</f>
        <v>261.85</v>
      </c>
      <c r="P22" s="24">
        <f>ROUND('Форма 4'!C216*'Базовые цены за единицу'!P22,2)</f>
        <v>341.1</v>
      </c>
      <c r="Q22" s="24">
        <f>ROUND('Форма 4'!C216*'Базовые цены за единицу'!Q22,2)</f>
        <v>106.8</v>
      </c>
      <c r="R22" s="24">
        <f>ROUND('Форма 4'!C216*'Базовые цены за единицу'!R22,2)</f>
        <v>199.4</v>
      </c>
      <c r="S22" s="24">
        <f>ROUND('Форма 4'!C216*'Базовые цены за единицу'!S22,2)</f>
        <v>62.46</v>
      </c>
      <c r="T22" s="24">
        <f>ROUND('Форма 4'!C216*'Базовые цены за единицу'!T22,2)</f>
        <v>0</v>
      </c>
      <c r="U22" s="24">
        <f>ROUND('Форма 4'!C216*'Базовые цены за единицу'!U22,2)</f>
        <v>0</v>
      </c>
      <c r="V22" s="24">
        <f>ROUND('Форма 4'!C216*'Базовые цены за единицу'!V22,2)</f>
        <v>0</v>
      </c>
      <c r="X22" s="26">
        <f>ROUND('Форма 4'!C216*'Базовые цены за единицу'!X22,2)</f>
        <v>0</v>
      </c>
      <c r="Y22" s="26">
        <f>IF(Определители!I22="9",ROUND((C22+E22)*(Начисления!M22/100)*('Форма 4'!C219/100),2),0)</f>
        <v>0</v>
      </c>
      <c r="Z22" s="26">
        <f>IF(Определители!I22="9",ROUND((C22+E22)*(100-Начисления!M22/100)*('Форма 4'!C219/100),2),0)</f>
        <v>0</v>
      </c>
      <c r="AA22" s="26">
        <f>IF(Определители!I22="9",ROUND((C22+E22)*(Начисления!M22/100)*('Форма 4'!C222/100),2),0)</f>
        <v>0</v>
      </c>
      <c r="AB22" s="26">
        <f>IF(Определители!I22="9",ROUND((C22+E22)*(100-Начисления!M22/100)*('Форма 4'!C222/100),2),0)</f>
        <v>0</v>
      </c>
      <c r="AC22" s="26">
        <f>IF(Определители!I22="9",ROUND(B22*Начисления!M22/100,2),0)</f>
        <v>0</v>
      </c>
      <c r="AD22" s="26">
        <f>IF(Определители!I22="9",ROUND(B22*(100-Начисления!M22)/100,2),0)</f>
        <v>0</v>
      </c>
    </row>
  </sheetData>
  <mergeCells count="6">
    <mergeCell ref="B7:J8"/>
    <mergeCell ref="B17:J18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22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171</v>
      </c>
      <c r="C1" s="29" t="s">
        <v>172</v>
      </c>
      <c r="D1" s="29" t="s">
        <v>173</v>
      </c>
      <c r="E1" s="29" t="s">
        <v>174</v>
      </c>
      <c r="F1" s="29" t="s">
        <v>175</v>
      </c>
      <c r="G1" s="29" t="s">
        <v>176</v>
      </c>
      <c r="H1" s="29" t="s">
        <v>177</v>
      </c>
      <c r="I1" s="29" t="s">
        <v>178</v>
      </c>
      <c r="J1" s="29" t="s">
        <v>179</v>
      </c>
      <c r="K1" s="29" t="s">
        <v>180</v>
      </c>
      <c r="L1" s="29" t="s">
        <v>181</v>
      </c>
      <c r="M1" s="29" t="s">
        <v>182</v>
      </c>
      <c r="N1" s="29" t="s">
        <v>183</v>
      </c>
      <c r="O1" s="29" t="s">
        <v>184</v>
      </c>
      <c r="P1" s="29" t="s">
        <v>185</v>
      </c>
      <c r="Q1" s="29" t="s">
        <v>186</v>
      </c>
      <c r="R1" s="29" t="s">
        <v>187</v>
      </c>
      <c r="S1" s="29" t="s">
        <v>188</v>
      </c>
      <c r="T1" s="29" t="s">
        <v>189</v>
      </c>
      <c r="U1" s="29" t="s">
        <v>190</v>
      </c>
      <c r="V1" s="29" t="s">
        <v>191</v>
      </c>
      <c r="W1" s="29" t="s">
        <v>192</v>
      </c>
      <c r="X1" s="29" t="s">
        <v>193</v>
      </c>
      <c r="Y1" s="29" t="s">
        <v>194</v>
      </c>
      <c r="Z1" s="29" t="s">
        <v>195</v>
      </c>
      <c r="AA1" s="29" t="s">
        <v>196</v>
      </c>
      <c r="AB1" s="29" t="s">
        <v>197</v>
      </c>
      <c r="AC1" s="29" t="s">
        <v>198</v>
      </c>
      <c r="AD1" s="29" t="s">
        <v>199</v>
      </c>
      <c r="AE1" s="29" t="s">
        <v>200</v>
      </c>
      <c r="AF1" s="29" t="s">
        <v>201</v>
      </c>
      <c r="AG1" s="29" t="s">
        <v>202</v>
      </c>
      <c r="AH1" s="29" t="s">
        <v>203</v>
      </c>
      <c r="AI1" s="29" t="s">
        <v>204</v>
      </c>
      <c r="AJ1" s="29" t="s">
        <v>205</v>
      </c>
      <c r="AK1" s="29" t="s">
        <v>206</v>
      </c>
      <c r="AL1" s="29" t="s">
        <v>207</v>
      </c>
      <c r="AM1" s="29" t="s">
        <v>208</v>
      </c>
      <c r="AN1" s="29" t="s">
        <v>209</v>
      </c>
      <c r="AO1" s="29" t="s">
        <v>210</v>
      </c>
      <c r="AP1" s="29" t="s">
        <v>211</v>
      </c>
      <c r="AQ1" s="29" t="s">
        <v>212</v>
      </c>
      <c r="AR1" s="29" t="s">
        <v>213</v>
      </c>
      <c r="AS1" s="29" t="s">
        <v>214</v>
      </c>
      <c r="AT1" s="29" t="s">
        <v>215</v>
      </c>
      <c r="AU1" s="29" t="s">
        <v>216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31"/>
      <c r="B3" s="63" t="s">
        <v>169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31"/>
      <c r="B4" s="63" t="s">
        <v>170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ht="10.5">
      <c r="A6" s="30"/>
    </row>
    <row r="7" spans="1:10" ht="10.5">
      <c r="A7" s="30"/>
      <c r="B7" s="51" t="s">
        <v>28</v>
      </c>
      <c r="C7" s="51"/>
      <c r="D7" s="51"/>
      <c r="E7" s="51"/>
      <c r="F7" s="51"/>
      <c r="G7" s="51"/>
      <c r="H7" s="51"/>
      <c r="I7" s="51"/>
      <c r="J7" s="51"/>
    </row>
    <row r="8" spans="1:10" ht="10.5">
      <c r="A8" s="30"/>
      <c r="B8" s="51"/>
      <c r="C8" s="51"/>
      <c r="D8" s="51"/>
      <c r="E8" s="51"/>
      <c r="F8" s="51"/>
      <c r="G8" s="51"/>
      <c r="H8" s="51"/>
      <c r="I8" s="51"/>
      <c r="J8" s="51"/>
    </row>
    <row r="9" spans="1:47" ht="10.5">
      <c r="A9" s="30" t="str">
        <f>'Форма 4'!A28</f>
        <v>1.</v>
      </c>
      <c r="B9" s="25">
        <v>1</v>
      </c>
      <c r="C9" s="25">
        <v>1</v>
      </c>
      <c r="D9" s="25">
        <v>1.4375</v>
      </c>
      <c r="E9" s="25">
        <v>1.4375</v>
      </c>
      <c r="F9" s="25">
        <v>1.3225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4'!A38</f>
        <v>2.</v>
      </c>
      <c r="B10" s="25">
        <v>1</v>
      </c>
      <c r="C10" s="25">
        <v>1</v>
      </c>
      <c r="D10" s="25">
        <v>1.4375</v>
      </c>
      <c r="E10" s="25">
        <v>1.4375</v>
      </c>
      <c r="F10" s="25">
        <v>1.3225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  <row r="11" spans="1:47" ht="10.5">
      <c r="A11" s="30" t="str">
        <f>'Форма 4'!A48</f>
        <v>3.</v>
      </c>
      <c r="B11" s="25">
        <v>1</v>
      </c>
      <c r="C11" s="25">
        <v>1</v>
      </c>
      <c r="D11" s="25">
        <v>1.4375</v>
      </c>
      <c r="E11" s="25">
        <v>1.4375</v>
      </c>
      <c r="F11" s="25">
        <v>1.3225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</row>
    <row r="12" spans="1:47" ht="10.5">
      <c r="A12" s="30" t="str">
        <f>'Форма 4'!A58</f>
        <v>4.</v>
      </c>
      <c r="B12" s="25">
        <v>1</v>
      </c>
      <c r="C12" s="25">
        <v>1</v>
      </c>
      <c r="D12" s="25">
        <v>1.4375</v>
      </c>
      <c r="E12" s="25">
        <v>1.4375</v>
      </c>
      <c r="F12" s="25">
        <v>1.3225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0</v>
      </c>
      <c r="M12" s="25">
        <v>100</v>
      </c>
      <c r="N12" s="25">
        <v>0</v>
      </c>
      <c r="O12" s="25">
        <v>0</v>
      </c>
      <c r="P12" s="25">
        <v>1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1.7</v>
      </c>
      <c r="AH12" s="25">
        <v>1.6</v>
      </c>
      <c r="AI12" s="25">
        <v>1.29</v>
      </c>
      <c r="AJ12" s="25">
        <v>0.092</v>
      </c>
      <c r="AK12" s="25">
        <v>0.18</v>
      </c>
      <c r="AL12" s="25">
        <v>1</v>
      </c>
      <c r="AM12" s="25">
        <v>1</v>
      </c>
      <c r="AN12" s="25">
        <v>0.2</v>
      </c>
      <c r="AO12" s="25">
        <v>1.5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100</v>
      </c>
    </row>
    <row r="13" spans="1:47" ht="10.5">
      <c r="A13" s="30" t="str">
        <f>'Форма 4'!A69</f>
        <v>5.</v>
      </c>
      <c r="B13" s="25">
        <v>1</v>
      </c>
      <c r="C13" s="25">
        <v>1</v>
      </c>
      <c r="D13" s="25">
        <v>1.4375</v>
      </c>
      <c r="E13" s="25">
        <v>1.4375</v>
      </c>
      <c r="F13" s="25">
        <v>1.3225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5">
        <v>100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1.7</v>
      </c>
      <c r="AH13" s="25">
        <v>1.6</v>
      </c>
      <c r="AI13" s="25">
        <v>1.29</v>
      </c>
      <c r="AJ13" s="25">
        <v>0.092</v>
      </c>
      <c r="AK13" s="25">
        <v>0.18</v>
      </c>
      <c r="AL13" s="25">
        <v>1</v>
      </c>
      <c r="AM13" s="25">
        <v>1</v>
      </c>
      <c r="AN13" s="25">
        <v>0.2</v>
      </c>
      <c r="AO13" s="25">
        <v>1.5</v>
      </c>
      <c r="AP13" s="25">
        <v>1</v>
      </c>
      <c r="AQ13" s="25">
        <v>1</v>
      </c>
      <c r="AR13" s="25">
        <v>1</v>
      </c>
      <c r="AS13" s="25">
        <v>1</v>
      </c>
      <c r="AT13" s="25">
        <v>1</v>
      </c>
      <c r="AU13" s="25">
        <v>100</v>
      </c>
    </row>
    <row r="14" spans="1:47" ht="10.5">
      <c r="A14" s="30" t="str">
        <f>'Форма 4'!A80</f>
        <v>6.</v>
      </c>
      <c r="B14" s="25">
        <v>1</v>
      </c>
      <c r="C14" s="25">
        <v>1</v>
      </c>
      <c r="D14" s="25">
        <v>1.15</v>
      </c>
      <c r="E14" s="25">
        <v>1.15</v>
      </c>
      <c r="F14" s="25">
        <v>1.15</v>
      </c>
      <c r="G14" s="25">
        <v>1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100</v>
      </c>
      <c r="N14" s="25">
        <v>0</v>
      </c>
      <c r="O14" s="25">
        <v>0</v>
      </c>
      <c r="P14" s="25">
        <v>1</v>
      </c>
      <c r="Q14" s="25">
        <v>1</v>
      </c>
      <c r="R14" s="25">
        <v>0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1.7</v>
      </c>
      <c r="AH14" s="25">
        <v>1.6</v>
      </c>
      <c r="AI14" s="25">
        <v>1.29</v>
      </c>
      <c r="AJ14" s="25">
        <v>0.092</v>
      </c>
      <c r="AK14" s="25">
        <v>0.18</v>
      </c>
      <c r="AL14" s="25">
        <v>1</v>
      </c>
      <c r="AM14" s="25">
        <v>1</v>
      </c>
      <c r="AN14" s="25">
        <v>0.2</v>
      </c>
      <c r="AO14" s="25">
        <v>1.5</v>
      </c>
      <c r="AP14" s="25">
        <v>1</v>
      </c>
      <c r="AQ14" s="25">
        <v>1</v>
      </c>
      <c r="AR14" s="25">
        <v>1</v>
      </c>
      <c r="AS14" s="25">
        <v>1</v>
      </c>
      <c r="AT14" s="25">
        <v>1</v>
      </c>
      <c r="AU14" s="25">
        <v>100</v>
      </c>
    </row>
    <row r="15" spans="1:47" ht="10.5">
      <c r="A15" s="30" t="str">
        <f>'Форма 4'!A90</f>
        <v>7.</v>
      </c>
      <c r="B15" s="25">
        <v>1</v>
      </c>
      <c r="C15" s="25">
        <v>1</v>
      </c>
      <c r="D15" s="25">
        <v>1.15</v>
      </c>
      <c r="E15" s="25">
        <v>1.15</v>
      </c>
      <c r="F15" s="25">
        <v>1.15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0</v>
      </c>
      <c r="M15" s="25">
        <v>100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1.7</v>
      </c>
      <c r="AH15" s="25">
        <v>1.6</v>
      </c>
      <c r="AI15" s="25">
        <v>1.29</v>
      </c>
      <c r="AJ15" s="25">
        <v>0.092</v>
      </c>
      <c r="AK15" s="25">
        <v>0.18</v>
      </c>
      <c r="AL15" s="25">
        <v>1</v>
      </c>
      <c r="AM15" s="25">
        <v>1</v>
      </c>
      <c r="AN15" s="25">
        <v>0.2</v>
      </c>
      <c r="AO15" s="25">
        <v>1.5</v>
      </c>
      <c r="AP15" s="25">
        <v>1</v>
      </c>
      <c r="AQ15" s="25">
        <v>1</v>
      </c>
      <c r="AR15" s="25">
        <v>1</v>
      </c>
      <c r="AS15" s="25">
        <v>1</v>
      </c>
      <c r="AT15" s="25">
        <v>1</v>
      </c>
      <c r="AU15" s="25">
        <v>100</v>
      </c>
    </row>
    <row r="16" ht="10.5">
      <c r="A16" s="30"/>
    </row>
    <row r="17" spans="1:10" ht="10.5">
      <c r="A17" s="30"/>
      <c r="B17" s="51" t="s">
        <v>120</v>
      </c>
      <c r="C17" s="51"/>
      <c r="D17" s="51"/>
      <c r="E17" s="51"/>
      <c r="F17" s="51"/>
      <c r="G17" s="51"/>
      <c r="H17" s="51"/>
      <c r="I17" s="51"/>
      <c r="J17" s="51"/>
    </row>
    <row r="18" spans="1:10" ht="10.5">
      <c r="A18" s="30"/>
      <c r="B18" s="51"/>
      <c r="C18" s="51"/>
      <c r="D18" s="51"/>
      <c r="E18" s="51"/>
      <c r="F18" s="51"/>
      <c r="G18" s="51"/>
      <c r="H18" s="51"/>
      <c r="I18" s="51"/>
      <c r="J18" s="51"/>
    </row>
    <row r="19" spans="1:47" ht="10.5">
      <c r="A19" s="30" t="str">
        <f>'Форма 4'!A188</f>
        <v>8.</v>
      </c>
      <c r="B19" s="25">
        <v>1</v>
      </c>
      <c r="C19" s="25">
        <v>1</v>
      </c>
      <c r="D19" s="25">
        <v>1.4375</v>
      </c>
      <c r="E19" s="25">
        <v>1.4375</v>
      </c>
      <c r="F19" s="25">
        <v>1.3225</v>
      </c>
      <c r="G19" s="25">
        <v>1</v>
      </c>
      <c r="H19" s="25">
        <v>1</v>
      </c>
      <c r="I19" s="25">
        <v>1</v>
      </c>
      <c r="J19" s="25">
        <v>1</v>
      </c>
      <c r="K19" s="25">
        <v>0</v>
      </c>
      <c r="L19" s="25">
        <v>0</v>
      </c>
      <c r="M19" s="25">
        <v>100</v>
      </c>
      <c r="N19" s="25">
        <v>0</v>
      </c>
      <c r="O19" s="25">
        <v>0</v>
      </c>
      <c r="P19" s="25">
        <v>1</v>
      </c>
      <c r="Q19" s="25">
        <v>1</v>
      </c>
      <c r="R19" s="25">
        <v>0</v>
      </c>
      <c r="S19" s="25">
        <v>0</v>
      </c>
      <c r="T19" s="25">
        <v>1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1.7</v>
      </c>
      <c r="AH19" s="25">
        <v>1.6</v>
      </c>
      <c r="AI19" s="25">
        <v>1.29</v>
      </c>
      <c r="AJ19" s="25">
        <v>0.092</v>
      </c>
      <c r="AK19" s="25">
        <v>0.18</v>
      </c>
      <c r="AL19" s="25">
        <v>1</v>
      </c>
      <c r="AM19" s="25">
        <v>1</v>
      </c>
      <c r="AN19" s="25">
        <v>0.2</v>
      </c>
      <c r="AO19" s="25">
        <v>1.5</v>
      </c>
      <c r="AP19" s="25">
        <v>1</v>
      </c>
      <c r="AQ19" s="25">
        <v>1</v>
      </c>
      <c r="AR19" s="25">
        <v>1</v>
      </c>
      <c r="AS19" s="25">
        <v>1</v>
      </c>
      <c r="AT19" s="25">
        <v>1</v>
      </c>
      <c r="AU19" s="25">
        <v>100</v>
      </c>
    </row>
    <row r="20" spans="1:47" ht="10.5">
      <c r="A20" s="30" t="str">
        <f>'Форма 4'!A198</f>
        <v>9.</v>
      </c>
      <c r="B20" s="25">
        <v>1</v>
      </c>
      <c r="C20" s="25">
        <v>1</v>
      </c>
      <c r="D20" s="25">
        <v>1.15</v>
      </c>
      <c r="E20" s="25">
        <v>1.15</v>
      </c>
      <c r="F20" s="25">
        <v>1.15</v>
      </c>
      <c r="G20" s="25">
        <v>1</v>
      </c>
      <c r="H20" s="25">
        <v>1</v>
      </c>
      <c r="I20" s="25">
        <v>1</v>
      </c>
      <c r="J20" s="25">
        <v>1</v>
      </c>
      <c r="K20" s="25">
        <v>0</v>
      </c>
      <c r="L20" s="25">
        <v>0</v>
      </c>
      <c r="M20" s="25">
        <v>100</v>
      </c>
      <c r="N20" s="25">
        <v>0</v>
      </c>
      <c r="O20" s="25">
        <v>0</v>
      </c>
      <c r="P20" s="25">
        <v>1</v>
      </c>
      <c r="Q20" s="25">
        <v>1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1.7</v>
      </c>
      <c r="AH20" s="25">
        <v>1.6</v>
      </c>
      <c r="AI20" s="25">
        <v>1.29</v>
      </c>
      <c r="AJ20" s="25">
        <v>0.092</v>
      </c>
      <c r="AK20" s="25">
        <v>0.18</v>
      </c>
      <c r="AL20" s="25">
        <v>1</v>
      </c>
      <c r="AM20" s="25">
        <v>1</v>
      </c>
      <c r="AN20" s="25">
        <v>0.2</v>
      </c>
      <c r="AO20" s="25">
        <v>1.5</v>
      </c>
      <c r="AP20" s="25">
        <v>1</v>
      </c>
      <c r="AQ20" s="25">
        <v>1</v>
      </c>
      <c r="AR20" s="25">
        <v>1</v>
      </c>
      <c r="AS20" s="25">
        <v>1</v>
      </c>
      <c r="AT20" s="25">
        <v>1</v>
      </c>
      <c r="AU20" s="25">
        <v>100</v>
      </c>
    </row>
    <row r="21" spans="1:47" ht="10.5">
      <c r="A21" s="30" t="str">
        <f>'Форма 4'!A207</f>
        <v>10.</v>
      </c>
      <c r="B21" s="25">
        <v>1</v>
      </c>
      <c r="C21" s="25">
        <v>1</v>
      </c>
      <c r="D21" s="25">
        <v>1.15</v>
      </c>
      <c r="E21" s="25">
        <v>1.15</v>
      </c>
      <c r="F21" s="25">
        <v>1.15</v>
      </c>
      <c r="G21" s="25">
        <v>1</v>
      </c>
      <c r="H21" s="25">
        <v>1</v>
      </c>
      <c r="I21" s="25">
        <v>1</v>
      </c>
      <c r="J21" s="25">
        <v>1</v>
      </c>
      <c r="K21" s="25">
        <v>0</v>
      </c>
      <c r="L21" s="25">
        <v>0</v>
      </c>
      <c r="M21" s="25">
        <v>100</v>
      </c>
      <c r="N21" s="25">
        <v>0</v>
      </c>
      <c r="O21" s="25">
        <v>0</v>
      </c>
      <c r="P21" s="25">
        <v>1</v>
      </c>
      <c r="Q21" s="25">
        <v>1</v>
      </c>
      <c r="R21" s="25">
        <v>0</v>
      </c>
      <c r="S21" s="25">
        <v>0</v>
      </c>
      <c r="T21" s="25">
        <v>1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1.7</v>
      </c>
      <c r="AH21" s="25">
        <v>1.6</v>
      </c>
      <c r="AI21" s="25">
        <v>1.29</v>
      </c>
      <c r="AJ21" s="25">
        <v>0.092</v>
      </c>
      <c r="AK21" s="25">
        <v>0.18</v>
      </c>
      <c r="AL21" s="25">
        <v>1</v>
      </c>
      <c r="AM21" s="25">
        <v>1</v>
      </c>
      <c r="AN21" s="25">
        <v>0.2</v>
      </c>
      <c r="AO21" s="25">
        <v>1.5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100</v>
      </c>
    </row>
    <row r="22" spans="1:47" ht="10.5">
      <c r="A22" s="30" t="str">
        <f>'Форма 4'!A216</f>
        <v>11.</v>
      </c>
      <c r="B22" s="25">
        <v>1</v>
      </c>
      <c r="C22" s="25">
        <v>1</v>
      </c>
      <c r="D22" s="25">
        <v>1.4375</v>
      </c>
      <c r="E22" s="25">
        <v>1.4375</v>
      </c>
      <c r="F22" s="25">
        <v>1.3225</v>
      </c>
      <c r="G22" s="25">
        <v>1</v>
      </c>
      <c r="H22" s="25">
        <v>1</v>
      </c>
      <c r="I22" s="25">
        <v>1</v>
      </c>
      <c r="J22" s="25">
        <v>1</v>
      </c>
      <c r="K22" s="25">
        <v>0</v>
      </c>
      <c r="L22" s="25">
        <v>0</v>
      </c>
      <c r="M22" s="25">
        <v>100</v>
      </c>
      <c r="N22" s="25">
        <v>0</v>
      </c>
      <c r="O22" s="25">
        <v>0</v>
      </c>
      <c r="P22" s="25">
        <v>1</v>
      </c>
      <c r="Q22" s="25">
        <v>1</v>
      </c>
      <c r="R22" s="25">
        <v>0</v>
      </c>
      <c r="S22" s="25">
        <v>0</v>
      </c>
      <c r="T22" s="25">
        <v>1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1.7</v>
      </c>
      <c r="AH22" s="25">
        <v>1.6</v>
      </c>
      <c r="AI22" s="25">
        <v>1.29</v>
      </c>
      <c r="AJ22" s="25">
        <v>0.092</v>
      </c>
      <c r="AK22" s="25">
        <v>0.18</v>
      </c>
      <c r="AL22" s="25">
        <v>1</v>
      </c>
      <c r="AM22" s="25">
        <v>1</v>
      </c>
      <c r="AN22" s="25">
        <v>0.2</v>
      </c>
      <c r="AO22" s="25">
        <v>1.5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100</v>
      </c>
    </row>
  </sheetData>
  <mergeCells count="6">
    <mergeCell ref="B7:J8"/>
    <mergeCell ref="B17:J18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22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217</v>
      </c>
      <c r="C1" s="29" t="s">
        <v>218</v>
      </c>
      <c r="D1" s="29" t="s">
        <v>219</v>
      </c>
      <c r="E1" s="29" t="s">
        <v>220</v>
      </c>
      <c r="F1" s="29" t="s">
        <v>221</v>
      </c>
      <c r="G1" s="29" t="s">
        <v>222</v>
      </c>
      <c r="H1" s="29" t="s">
        <v>223</v>
      </c>
      <c r="I1" s="29" t="s">
        <v>224</v>
      </c>
      <c r="J1" s="29" t="s">
        <v>225</v>
      </c>
    </row>
    <row r="2" spans="1:10" ht="10.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0.5">
      <c r="A3" s="36"/>
      <c r="B3" s="65" t="s">
        <v>169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36"/>
      <c r="B4" s="65" t="s">
        <v>170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41"/>
      <c r="B5" s="42"/>
      <c r="C5" s="42"/>
      <c r="D5" s="42"/>
      <c r="E5" s="42"/>
      <c r="F5" s="42"/>
      <c r="G5" s="42"/>
      <c r="H5" s="42"/>
      <c r="I5" s="42"/>
      <c r="J5" s="42"/>
    </row>
    <row r="6" ht="10.5">
      <c r="A6" s="35"/>
    </row>
    <row r="7" spans="1:10" ht="10.5">
      <c r="A7" s="35"/>
      <c r="B7" s="64" t="s">
        <v>28</v>
      </c>
      <c r="C7" s="64"/>
      <c r="D7" s="64"/>
      <c r="E7" s="64"/>
      <c r="F7" s="64"/>
      <c r="G7" s="64"/>
      <c r="H7" s="64"/>
      <c r="I7" s="64"/>
      <c r="J7" s="64"/>
    </row>
    <row r="8" spans="1:10" ht="10.5">
      <c r="A8" s="35"/>
      <c r="B8" s="64"/>
      <c r="C8" s="64"/>
      <c r="D8" s="64"/>
      <c r="E8" s="64"/>
      <c r="F8" s="64"/>
      <c r="G8" s="64"/>
      <c r="H8" s="64"/>
      <c r="I8" s="64"/>
      <c r="J8" s="64"/>
    </row>
    <row r="9" spans="1:10" ht="10.5">
      <c r="A9" s="35" t="str">
        <f>'Форма 4'!A28</f>
        <v>1.</v>
      </c>
      <c r="B9" s="34" t="s">
        <v>226</v>
      </c>
      <c r="C9" s="34" t="s">
        <v>226</v>
      </c>
      <c r="D9" s="34" t="s">
        <v>227</v>
      </c>
      <c r="E9" s="34" t="s">
        <v>227</v>
      </c>
      <c r="F9" s="34" t="s">
        <v>228</v>
      </c>
      <c r="G9" s="34" t="s">
        <v>227</v>
      </c>
      <c r="H9" s="34" t="s">
        <v>227</v>
      </c>
      <c r="I9" s="34" t="s">
        <v>229</v>
      </c>
      <c r="J9" s="34" t="s">
        <v>227</v>
      </c>
    </row>
    <row r="10" spans="1:10" ht="10.5">
      <c r="A10" s="35" t="str">
        <f>'Форма 4'!A38</f>
        <v>2.</v>
      </c>
      <c r="B10" s="34" t="s">
        <v>226</v>
      </c>
      <c r="C10" s="34" t="s">
        <v>226</v>
      </c>
      <c r="D10" s="34" t="s">
        <v>227</v>
      </c>
      <c r="E10" s="34" t="s">
        <v>227</v>
      </c>
      <c r="F10" s="34" t="s">
        <v>228</v>
      </c>
      <c r="G10" s="34" t="s">
        <v>227</v>
      </c>
      <c r="H10" s="34" t="s">
        <v>227</v>
      </c>
      <c r="I10" s="34" t="s">
        <v>229</v>
      </c>
      <c r="J10" s="34" t="s">
        <v>227</v>
      </c>
    </row>
    <row r="11" spans="1:10" ht="10.5">
      <c r="A11" s="35" t="str">
        <f>'Форма 4'!A48</f>
        <v>3.</v>
      </c>
      <c r="B11" s="34" t="s">
        <v>226</v>
      </c>
      <c r="C11" s="34" t="s">
        <v>226</v>
      </c>
      <c r="D11" s="34" t="s">
        <v>227</v>
      </c>
      <c r="E11" s="34" t="s">
        <v>227</v>
      </c>
      <c r="F11" s="34" t="s">
        <v>228</v>
      </c>
      <c r="G11" s="34" t="s">
        <v>227</v>
      </c>
      <c r="H11" s="34" t="s">
        <v>227</v>
      </c>
      <c r="I11" s="34" t="s">
        <v>229</v>
      </c>
      <c r="J11" s="34" t="s">
        <v>227</v>
      </c>
    </row>
    <row r="12" spans="1:10" ht="10.5">
      <c r="A12" s="35" t="str">
        <f>'Форма 4'!A58</f>
        <v>4.</v>
      </c>
      <c r="B12" s="34" t="s">
        <v>226</v>
      </c>
      <c r="C12" s="34" t="s">
        <v>226</v>
      </c>
      <c r="D12" s="34" t="s">
        <v>227</v>
      </c>
      <c r="E12" s="34" t="s">
        <v>227</v>
      </c>
      <c r="F12" s="34" t="s">
        <v>228</v>
      </c>
      <c r="G12" s="34" t="s">
        <v>227</v>
      </c>
      <c r="H12" s="34" t="s">
        <v>227</v>
      </c>
      <c r="I12" s="34" t="s">
        <v>229</v>
      </c>
      <c r="J12" s="34" t="s">
        <v>227</v>
      </c>
    </row>
    <row r="13" spans="1:10" ht="10.5">
      <c r="A13" s="35" t="str">
        <f>'Форма 4'!A69</f>
        <v>5.</v>
      </c>
      <c r="B13" s="34" t="s">
        <v>226</v>
      </c>
      <c r="C13" s="34" t="s">
        <v>226</v>
      </c>
      <c r="D13" s="34" t="s">
        <v>227</v>
      </c>
      <c r="E13" s="34" t="s">
        <v>227</v>
      </c>
      <c r="F13" s="34" t="s">
        <v>228</v>
      </c>
      <c r="G13" s="34" t="s">
        <v>227</v>
      </c>
      <c r="H13" s="34" t="s">
        <v>227</v>
      </c>
      <c r="I13" s="34" t="s">
        <v>229</v>
      </c>
      <c r="J13" s="34" t="s">
        <v>227</v>
      </c>
    </row>
    <row r="14" spans="1:10" ht="10.5">
      <c r="A14" s="35" t="str">
        <f>'Форма 4'!A80</f>
        <v>6.</v>
      </c>
      <c r="B14" s="34" t="s">
        <v>226</v>
      </c>
      <c r="C14" s="34" t="s">
        <v>226</v>
      </c>
      <c r="D14" s="34" t="s">
        <v>227</v>
      </c>
      <c r="E14" s="34" t="s">
        <v>227</v>
      </c>
      <c r="F14" s="34" t="s">
        <v>228</v>
      </c>
      <c r="G14" s="34" t="s">
        <v>227</v>
      </c>
      <c r="H14" s="34" t="s">
        <v>227</v>
      </c>
      <c r="I14" s="34" t="s">
        <v>229</v>
      </c>
      <c r="J14" s="34" t="s">
        <v>227</v>
      </c>
    </row>
    <row r="15" spans="1:10" ht="10.5">
      <c r="A15" s="35" t="str">
        <f>'Форма 4'!A90</f>
        <v>7.</v>
      </c>
      <c r="B15" s="34" t="s">
        <v>226</v>
      </c>
      <c r="C15" s="34" t="s">
        <v>226</v>
      </c>
      <c r="D15" s="34" t="s">
        <v>227</v>
      </c>
      <c r="E15" s="34" t="s">
        <v>227</v>
      </c>
      <c r="F15" s="34" t="s">
        <v>228</v>
      </c>
      <c r="G15" s="34" t="s">
        <v>226</v>
      </c>
      <c r="H15" s="34" t="s">
        <v>227</v>
      </c>
      <c r="I15" s="34" t="s">
        <v>229</v>
      </c>
      <c r="J15" s="34" t="s">
        <v>227</v>
      </c>
    </row>
    <row r="16" ht="10.5">
      <c r="A16" s="35"/>
    </row>
    <row r="17" spans="1:10" ht="10.5">
      <c r="A17" s="35"/>
      <c r="B17" s="64" t="s">
        <v>120</v>
      </c>
      <c r="C17" s="64"/>
      <c r="D17" s="64"/>
      <c r="E17" s="64"/>
      <c r="F17" s="64"/>
      <c r="G17" s="64"/>
      <c r="H17" s="64"/>
      <c r="I17" s="64"/>
      <c r="J17" s="64"/>
    </row>
    <row r="18" spans="1:10" ht="10.5">
      <c r="A18" s="35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10.5">
      <c r="A19" s="35" t="str">
        <f>'Форма 4'!A188</f>
        <v>8.</v>
      </c>
      <c r="B19" s="34" t="s">
        <v>226</v>
      </c>
      <c r="C19" s="34" t="s">
        <v>226</v>
      </c>
      <c r="D19" s="34" t="s">
        <v>227</v>
      </c>
      <c r="E19" s="34" t="s">
        <v>227</v>
      </c>
      <c r="F19" s="34" t="s">
        <v>228</v>
      </c>
      <c r="G19" s="34" t="s">
        <v>227</v>
      </c>
      <c r="H19" s="34" t="s">
        <v>227</v>
      </c>
      <c r="I19" s="34" t="s">
        <v>229</v>
      </c>
      <c r="J19" s="34" t="s">
        <v>227</v>
      </c>
    </row>
    <row r="20" spans="1:10" ht="10.5">
      <c r="A20" s="35" t="str">
        <f>'Форма 4'!A198</f>
        <v>9.</v>
      </c>
      <c r="B20" s="34" t="s">
        <v>226</v>
      </c>
      <c r="C20" s="34" t="s">
        <v>226</v>
      </c>
      <c r="D20" s="34" t="s">
        <v>227</v>
      </c>
      <c r="E20" s="34" t="s">
        <v>227</v>
      </c>
      <c r="F20" s="34" t="s">
        <v>228</v>
      </c>
      <c r="G20" s="34" t="s">
        <v>227</v>
      </c>
      <c r="H20" s="34" t="s">
        <v>227</v>
      </c>
      <c r="I20" s="34" t="s">
        <v>229</v>
      </c>
      <c r="J20" s="34" t="s">
        <v>227</v>
      </c>
    </row>
    <row r="21" spans="1:10" ht="10.5">
      <c r="A21" s="35" t="str">
        <f>'Форма 4'!A207</f>
        <v>10.</v>
      </c>
      <c r="B21" s="34" t="s">
        <v>226</v>
      </c>
      <c r="C21" s="34" t="s">
        <v>226</v>
      </c>
      <c r="D21" s="34" t="s">
        <v>227</v>
      </c>
      <c r="E21" s="34" t="s">
        <v>227</v>
      </c>
      <c r="F21" s="34" t="s">
        <v>228</v>
      </c>
      <c r="G21" s="34" t="s">
        <v>227</v>
      </c>
      <c r="H21" s="34" t="s">
        <v>227</v>
      </c>
      <c r="I21" s="34" t="s">
        <v>229</v>
      </c>
      <c r="J21" s="34" t="s">
        <v>227</v>
      </c>
    </row>
    <row r="22" spans="1:10" ht="10.5">
      <c r="A22" s="35" t="str">
        <f>'Форма 4'!A216</f>
        <v>11.</v>
      </c>
      <c r="B22" s="34" t="s">
        <v>226</v>
      </c>
      <c r="C22" s="34" t="s">
        <v>226</v>
      </c>
      <c r="D22" s="34" t="s">
        <v>227</v>
      </c>
      <c r="E22" s="34" t="s">
        <v>227</v>
      </c>
      <c r="F22" s="34" t="s">
        <v>228</v>
      </c>
      <c r="G22" s="34" t="s">
        <v>227</v>
      </c>
      <c r="H22" s="34" t="s">
        <v>227</v>
      </c>
      <c r="I22" s="34" t="s">
        <v>229</v>
      </c>
      <c r="J22" s="34" t="s">
        <v>227</v>
      </c>
    </row>
  </sheetData>
  <mergeCells count="6">
    <mergeCell ref="B7:J8"/>
    <mergeCell ref="B17:J18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26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1"/>
      <c r="B2" s="66"/>
      <c r="C2" s="66"/>
      <c r="D2" s="67"/>
      <c r="E2" s="66"/>
      <c r="F2" s="67"/>
      <c r="G2" s="67"/>
      <c r="H2" s="67"/>
      <c r="I2" s="67"/>
      <c r="J2" s="67"/>
      <c r="N2" s="37"/>
    </row>
    <row r="3" spans="1:14" ht="10.5">
      <c r="A3" s="31"/>
      <c r="B3" s="63" t="s">
        <v>169</v>
      </c>
      <c r="C3" s="63"/>
      <c r="D3" s="63"/>
      <c r="E3" s="63"/>
      <c r="F3" s="63"/>
      <c r="G3" s="63"/>
      <c r="H3" s="63"/>
      <c r="I3" s="63"/>
      <c r="J3" s="63"/>
      <c r="N3" s="37"/>
    </row>
    <row r="4" spans="1:14" ht="10.5">
      <c r="A4" s="31"/>
      <c r="B4" s="63" t="s">
        <v>170</v>
      </c>
      <c r="C4" s="63"/>
      <c r="D4" s="63"/>
      <c r="E4" s="63"/>
      <c r="F4" s="63"/>
      <c r="G4" s="63"/>
      <c r="H4" s="63"/>
      <c r="I4" s="63"/>
      <c r="J4" s="63"/>
      <c r="N4" s="37"/>
    </row>
    <row r="5" spans="1:14" ht="10.5">
      <c r="A5" s="61"/>
      <c r="B5" s="66"/>
      <c r="C5" s="66"/>
      <c r="D5" s="67"/>
      <c r="E5" s="66"/>
      <c r="F5" s="67"/>
      <c r="G5" s="67"/>
      <c r="H5" s="67"/>
      <c r="I5" s="67"/>
      <c r="J5" s="67"/>
      <c r="N5" s="37"/>
    </row>
    <row r="6" ht="10.5">
      <c r="A6" s="30"/>
    </row>
    <row r="7" spans="1:14" ht="10.5">
      <c r="A7" s="30"/>
      <c r="B7" s="51" t="s">
        <v>28</v>
      </c>
      <c r="C7" s="51"/>
      <c r="D7" s="51"/>
      <c r="E7" s="51"/>
      <c r="F7" s="51"/>
      <c r="G7" s="51"/>
      <c r="H7" s="51"/>
      <c r="I7" s="51"/>
      <c r="J7" s="51"/>
      <c r="N7" s="37"/>
    </row>
    <row r="8" spans="1:10" ht="10.5">
      <c r="A8" s="30"/>
      <c r="B8" s="51"/>
      <c r="C8" s="51"/>
      <c r="D8" s="51"/>
      <c r="E8" s="51"/>
      <c r="F8" s="51"/>
      <c r="G8" s="51"/>
      <c r="H8" s="51"/>
      <c r="I8" s="51"/>
      <c r="J8" s="51"/>
    </row>
    <row r="9" spans="1:14" s="27" customFormat="1" ht="10.5">
      <c r="A9" s="28"/>
      <c r="B9" s="29" t="s">
        <v>230</v>
      </c>
      <c r="C9" s="29" t="s">
        <v>231</v>
      </c>
      <c r="D9" s="38" t="s">
        <v>232</v>
      </c>
      <c r="E9" s="29" t="s">
        <v>233</v>
      </c>
      <c r="F9" s="29" t="s">
        <v>234</v>
      </c>
      <c r="G9" s="29" t="s">
        <v>235</v>
      </c>
      <c r="H9" s="29" t="s">
        <v>236</v>
      </c>
      <c r="I9" s="29" t="s">
        <v>237</v>
      </c>
      <c r="J9" s="29" t="s">
        <v>238</v>
      </c>
      <c r="K9" s="29" t="s">
        <v>239</v>
      </c>
      <c r="L9" s="29" t="s">
        <v>240</v>
      </c>
      <c r="M9" s="29" t="s">
        <v>241</v>
      </c>
      <c r="N9" s="29"/>
    </row>
    <row r="10" spans="1:14" ht="10.5">
      <c r="A10" s="30">
        <v>1</v>
      </c>
      <c r="B10" s="39" t="s">
        <v>134</v>
      </c>
      <c r="C10" s="34" t="s">
        <v>242</v>
      </c>
      <c r="D10" s="37">
        <v>0</v>
      </c>
      <c r="E10" s="37"/>
      <c r="F10" s="24">
        <f>ROUND(SUM('Базовые цены с учетом расхода'!B9:B15),2)</f>
        <v>7761.46</v>
      </c>
      <c r="G10" s="24">
        <f>ROUND(SUM('Базовые цены с учетом расхода'!C9:C15),2)</f>
        <v>63.81</v>
      </c>
      <c r="H10" s="24">
        <f>ROUND(SUM('Базовые цены с учетом расхода'!D9:D15),2)</f>
        <v>944.77</v>
      </c>
      <c r="I10" s="24">
        <f>ROUND(SUM('Базовые цены с учетом расхода'!E9:E15),2)</f>
        <v>76.34</v>
      </c>
      <c r="J10" s="40">
        <f>ROUND(SUM('Базовые цены с учетом расхода'!I9:I15),8)</f>
        <v>5.7555195</v>
      </c>
      <c r="K10" s="40">
        <f>ROUND(SUM('Базовые цены с учетом расхода'!K9:K15),8)</f>
        <v>4.917401</v>
      </c>
      <c r="L10" s="24">
        <f>ROUND(SUM('Базовые цены с учетом расхода'!F9:F15),2)</f>
        <v>6752.88</v>
      </c>
      <c r="N10" s="37"/>
    </row>
    <row r="11" spans="1:12" ht="10.5">
      <c r="A11" s="30">
        <v>2</v>
      </c>
      <c r="B11" s="39" t="s">
        <v>64</v>
      </c>
      <c r="C11" s="34" t="s">
        <v>243</v>
      </c>
      <c r="D11" s="37">
        <v>0</v>
      </c>
      <c r="F11" s="24">
        <f>ROUND(SUMIF(Определители!I9:I15,"= ",'Базовые цены с учетом расхода'!B9:B15),2)</f>
        <v>0</v>
      </c>
      <c r="G11" s="24">
        <f>ROUND(SUMIF(Определители!I9:I15,"= ",'Базовые цены с учетом расхода'!C9:C15),2)</f>
        <v>0</v>
      </c>
      <c r="H11" s="24">
        <f>ROUND(SUMIF(Определители!I9:I15,"= ",'Базовые цены с учетом расхода'!D9:D15),2)</f>
        <v>0</v>
      </c>
      <c r="I11" s="24">
        <f>ROUND(SUMIF(Определители!I9:I15,"= ",'Базовые цены с учетом расхода'!E9:E15),2)</f>
        <v>0</v>
      </c>
      <c r="J11" s="40">
        <f>ROUND(SUMIF(Определители!I9:I15,"= ",'Базовые цены с учетом расхода'!I9:I15),8)</f>
        <v>0</v>
      </c>
      <c r="K11" s="40">
        <f>ROUND(SUMIF(Определители!I9:I15,"= ",'Базовые цены с учетом расхода'!K9:K15),8)</f>
        <v>0</v>
      </c>
      <c r="L11" s="24">
        <f>ROUND(SUMIF(Определители!I9:I15,"= ",'Базовые цены с учетом расхода'!F9:F15),2)</f>
        <v>0</v>
      </c>
    </row>
    <row r="12" spans="1:12" ht="10.5">
      <c r="A12" s="30">
        <v>3</v>
      </c>
      <c r="B12" s="39" t="s">
        <v>65</v>
      </c>
      <c r="C12" s="34" t="s">
        <v>243</v>
      </c>
      <c r="D12" s="37">
        <v>0</v>
      </c>
      <c r="F12" s="24">
        <f>ROUND(СУММПРОИЗВЕСЛИ(0.01,Определители!I9:I15," ",'Базовые цены с учетом расхода'!B9:B15,Начисления!X9:X15,0),2)</f>
        <v>0</v>
      </c>
      <c r="G12" s="24"/>
      <c r="H12" s="24"/>
      <c r="I12" s="24"/>
      <c r="J12" s="40"/>
      <c r="K12" s="40"/>
      <c r="L12" s="24"/>
    </row>
    <row r="13" spans="1:12" ht="10.5">
      <c r="A13" s="30">
        <v>4</v>
      </c>
      <c r="B13" s="39" t="s">
        <v>66</v>
      </c>
      <c r="C13" s="34" t="s">
        <v>243</v>
      </c>
      <c r="D13" s="37">
        <v>0</v>
      </c>
      <c r="F13" s="24">
        <f>ROUND(СУММПРОИЗВЕСЛИ(0.01,Определители!I9:I15," ",'Базовые цены с учетом расхода'!B9:B15,Начисления!Y9:Y15,0),2)</f>
        <v>0</v>
      </c>
      <c r="G13" s="24"/>
      <c r="H13" s="24"/>
      <c r="I13" s="24"/>
      <c r="J13" s="40"/>
      <c r="K13" s="40"/>
      <c r="L13" s="24"/>
    </row>
    <row r="14" spans="1:12" ht="10.5">
      <c r="A14" s="30">
        <v>5</v>
      </c>
      <c r="B14" s="39" t="s">
        <v>67</v>
      </c>
      <c r="C14" s="34" t="s">
        <v>243</v>
      </c>
      <c r="D14" s="37">
        <v>0</v>
      </c>
      <c r="F14" s="24">
        <f>ROUND(ТРАНСПРАСХОД(Определители!B9:B15,Определители!H9:H15,Определители!I9:I15,'Базовые цены с учетом расхода'!B9:B15,Начисления!Z9:Z15,Начисления!AA9:AA15),2)</f>
        <v>0</v>
      </c>
      <c r="G14" s="24"/>
      <c r="H14" s="24"/>
      <c r="I14" s="24"/>
      <c r="J14" s="40"/>
      <c r="K14" s="40"/>
      <c r="L14" s="24"/>
    </row>
    <row r="15" spans="1:12" ht="10.5">
      <c r="A15" s="30">
        <v>6</v>
      </c>
      <c r="B15" s="39" t="s">
        <v>68</v>
      </c>
      <c r="C15" s="34" t="s">
        <v>243</v>
      </c>
      <c r="D15" s="37">
        <v>0</v>
      </c>
      <c r="F15" s="24">
        <f>ROUND(СУММПРОИЗВЕСЛИ(0.01,Определители!I9:I15," ",'Базовые цены с учетом расхода'!B9:B15,Начисления!AC9:AC15,0),2)</f>
        <v>0</v>
      </c>
      <c r="G15" s="24"/>
      <c r="H15" s="24"/>
      <c r="I15" s="24"/>
      <c r="J15" s="40"/>
      <c r="K15" s="40"/>
      <c r="L15" s="24"/>
    </row>
    <row r="16" spans="1:12" ht="10.5">
      <c r="A16" s="30">
        <v>7</v>
      </c>
      <c r="B16" s="39" t="s">
        <v>69</v>
      </c>
      <c r="C16" s="34" t="s">
        <v>243</v>
      </c>
      <c r="D16" s="37">
        <v>0</v>
      </c>
      <c r="F16" s="24">
        <f>ROUND(СУММПРОИЗВЕСЛИ(0.01,Определители!I9:I15," ",'Базовые цены с учетом расхода'!B9:B15,Начисления!AF9:AF15,0),2)</f>
        <v>0</v>
      </c>
      <c r="G16" s="24"/>
      <c r="H16" s="24"/>
      <c r="I16" s="24"/>
      <c r="J16" s="40"/>
      <c r="K16" s="40"/>
      <c r="L16" s="24"/>
    </row>
    <row r="17" spans="1:12" ht="10.5">
      <c r="A17" s="30">
        <v>8</v>
      </c>
      <c r="B17" s="39" t="s">
        <v>70</v>
      </c>
      <c r="C17" s="34" t="s">
        <v>243</v>
      </c>
      <c r="D17" s="37">
        <v>0</v>
      </c>
      <c r="F17" s="24">
        <f>ROUND(ЗАГОТСКЛАДРАСХОД(Определители!B9:B15,Определители!H9:H15,Определители!I9:I15,'Базовые цены с учетом расхода'!B9:B15,Начисления!X9:X15,Начисления!Y9:Y15,Начисления!Z9:Z15,Начисления!AA9:AA15,Начисления!AB9:AB15,Начисления!AC9:AC15,Начисления!AF9:AF15),2)</f>
        <v>0</v>
      </c>
      <c r="G17" s="24"/>
      <c r="H17" s="24"/>
      <c r="I17" s="24"/>
      <c r="J17" s="40"/>
      <c r="K17" s="40"/>
      <c r="L17" s="24"/>
    </row>
    <row r="18" spans="1:12" ht="10.5">
      <c r="A18" s="30">
        <v>9</v>
      </c>
      <c r="B18" s="39" t="s">
        <v>71</v>
      </c>
      <c r="C18" s="34" t="s">
        <v>243</v>
      </c>
      <c r="D18" s="37">
        <v>0</v>
      </c>
      <c r="F18" s="24">
        <f>ROUND(СУММПРОИЗВЕСЛИ(1,Определители!I9:I15," ",'Базовые цены с учетом расхода'!M9:M15,Начисления!I9:I15,0),2)</f>
        <v>0</v>
      </c>
      <c r="G18" s="24"/>
      <c r="H18" s="24"/>
      <c r="I18" s="24"/>
      <c r="J18" s="40"/>
      <c r="K18" s="40"/>
      <c r="L18" s="24"/>
    </row>
    <row r="19" spans="1:12" ht="10.5">
      <c r="A19" s="30">
        <v>10</v>
      </c>
      <c r="B19" s="39" t="s">
        <v>72</v>
      </c>
      <c r="C19" s="34" t="s">
        <v>244</v>
      </c>
      <c r="D19" s="37">
        <v>0</v>
      </c>
      <c r="F19" s="24">
        <f>ROUND((F18+F29+F49),2)</f>
        <v>0</v>
      </c>
      <c r="G19" s="24"/>
      <c r="H19" s="24"/>
      <c r="I19" s="24"/>
      <c r="J19" s="40"/>
      <c r="K19" s="40"/>
      <c r="L19" s="24"/>
    </row>
    <row r="20" spans="1:12" ht="10.5">
      <c r="A20" s="30">
        <v>11</v>
      </c>
      <c r="B20" s="39" t="s">
        <v>73</v>
      </c>
      <c r="C20" s="34" t="s">
        <v>244</v>
      </c>
      <c r="D20" s="37">
        <v>0</v>
      </c>
      <c r="F20" s="24">
        <f>ROUND((F11+F12+F13+F14+F15+F16+F17+F19),2)</f>
        <v>0</v>
      </c>
      <c r="G20" s="24"/>
      <c r="H20" s="24"/>
      <c r="I20" s="24"/>
      <c r="J20" s="40"/>
      <c r="K20" s="40"/>
      <c r="L20" s="24"/>
    </row>
    <row r="21" spans="1:12" ht="10.5">
      <c r="A21" s="30">
        <v>12</v>
      </c>
      <c r="B21" s="39" t="s">
        <v>74</v>
      </c>
      <c r="C21" s="34" t="s">
        <v>243</v>
      </c>
      <c r="D21" s="37">
        <v>0</v>
      </c>
      <c r="F21" s="24">
        <f>ROUND(SUMIF(Определители!I9:I15,"=1",'Базовые цены с учетом расхода'!B9:B15),2)</f>
        <v>0</v>
      </c>
      <c r="G21" s="24">
        <f>ROUND(SUMIF(Определители!I9:I15,"=1",'Базовые цены с учетом расхода'!C9:C15),2)</f>
        <v>0</v>
      </c>
      <c r="H21" s="24">
        <f>ROUND(SUMIF(Определители!I9:I15,"=1",'Базовые цены с учетом расхода'!D9:D15),2)</f>
        <v>0</v>
      </c>
      <c r="I21" s="24">
        <f>ROUND(SUMIF(Определители!I9:I15,"=1",'Базовые цены с учетом расхода'!E9:E15),2)</f>
        <v>0</v>
      </c>
      <c r="J21" s="40">
        <f>ROUND(SUMIF(Определители!I9:I15,"=1",'Базовые цены с учетом расхода'!I9:I15),8)</f>
        <v>0</v>
      </c>
      <c r="K21" s="40">
        <f>ROUND(SUMIF(Определители!I9:I15,"=1",'Базовые цены с учетом расхода'!K9:K15),8)</f>
        <v>0</v>
      </c>
      <c r="L21" s="24">
        <f>ROUND(SUMIF(Определители!I9:I15,"=1",'Базовые цены с учетом расхода'!F9:F15),2)</f>
        <v>0</v>
      </c>
    </row>
    <row r="22" spans="1:12" ht="10.5">
      <c r="A22" s="30">
        <v>13</v>
      </c>
      <c r="B22" s="39" t="s">
        <v>75</v>
      </c>
      <c r="C22" s="34" t="s">
        <v>243</v>
      </c>
      <c r="D22" s="37">
        <v>0</v>
      </c>
      <c r="F22" s="24"/>
      <c r="G22" s="24"/>
      <c r="H22" s="24"/>
      <c r="I22" s="24"/>
      <c r="J22" s="40"/>
      <c r="K22" s="40"/>
      <c r="L22" s="24"/>
    </row>
    <row r="23" spans="1:12" ht="10.5">
      <c r="A23" s="30">
        <v>14</v>
      </c>
      <c r="B23" s="39" t="s">
        <v>76</v>
      </c>
      <c r="C23" s="34" t="s">
        <v>243</v>
      </c>
      <c r="D23" s="37">
        <v>0</v>
      </c>
      <c r="F23" s="24"/>
      <c r="G23" s="24">
        <f>ROUND(SUMIF(Определители!I9:I15,"=1",'Базовые цены с учетом расхода'!U9:U15),2)</f>
        <v>0</v>
      </c>
      <c r="H23" s="24"/>
      <c r="I23" s="24"/>
      <c r="J23" s="40"/>
      <c r="K23" s="40"/>
      <c r="L23" s="24"/>
    </row>
    <row r="24" spans="1:12" ht="10.5">
      <c r="A24" s="30">
        <v>15</v>
      </c>
      <c r="B24" s="39" t="s">
        <v>77</v>
      </c>
      <c r="C24" s="34" t="s">
        <v>243</v>
      </c>
      <c r="D24" s="37">
        <v>0</v>
      </c>
      <c r="F24" s="24">
        <f>ROUND(SUMIF(Определители!I9:I15,"=1",'Базовые цены с учетом расхода'!V9:V15),2)</f>
        <v>0</v>
      </c>
      <c r="G24" s="24"/>
      <c r="H24" s="24"/>
      <c r="I24" s="24"/>
      <c r="J24" s="40"/>
      <c r="K24" s="40"/>
      <c r="L24" s="24"/>
    </row>
    <row r="25" spans="1:12" ht="10.5">
      <c r="A25" s="30">
        <v>16</v>
      </c>
      <c r="B25" s="39" t="s">
        <v>78</v>
      </c>
      <c r="C25" s="34" t="s">
        <v>243</v>
      </c>
      <c r="D25" s="37">
        <v>0</v>
      </c>
      <c r="F25" s="24">
        <f>ROUND(СУММЕСЛИ2(Определители!I9:I15,"1",Определители!G6:G15,"1",'Базовые цены с учетом расхода'!B9:B15),2)</f>
        <v>0</v>
      </c>
      <c r="G25" s="24"/>
      <c r="H25" s="24"/>
      <c r="I25" s="24"/>
      <c r="J25" s="40"/>
      <c r="K25" s="40"/>
      <c r="L25" s="24"/>
    </row>
    <row r="26" spans="1:12" ht="10.5">
      <c r="A26" s="30">
        <v>17</v>
      </c>
      <c r="B26" s="39" t="s">
        <v>79</v>
      </c>
      <c r="C26" s="34" t="s">
        <v>243</v>
      </c>
      <c r="D26" s="37">
        <v>0</v>
      </c>
      <c r="F26" s="24">
        <f>ROUND(SUMIF(Определители!I9:I15,"=1",'Базовые цены с учетом расхода'!H9:H15),2)</f>
        <v>0</v>
      </c>
      <c r="G26" s="24"/>
      <c r="H26" s="24"/>
      <c r="I26" s="24"/>
      <c r="J26" s="40"/>
      <c r="K26" s="40"/>
      <c r="L26" s="24"/>
    </row>
    <row r="27" spans="1:12" ht="10.5">
      <c r="A27" s="30">
        <v>18</v>
      </c>
      <c r="B27" s="39" t="s">
        <v>80</v>
      </c>
      <c r="C27" s="34" t="s">
        <v>243</v>
      </c>
      <c r="D27" s="37">
        <v>0</v>
      </c>
      <c r="F27" s="24">
        <f>ROUND(SUMIF(Определители!I9:I15,"=1",'Базовые цены с учетом расхода'!N9:N15),2)</f>
        <v>0</v>
      </c>
      <c r="G27" s="24"/>
      <c r="H27" s="24"/>
      <c r="I27" s="24"/>
      <c r="J27" s="40"/>
      <c r="K27" s="40"/>
      <c r="L27" s="24"/>
    </row>
    <row r="28" spans="1:12" ht="10.5">
      <c r="A28" s="30">
        <v>19</v>
      </c>
      <c r="B28" s="39" t="s">
        <v>81</v>
      </c>
      <c r="C28" s="34" t="s">
        <v>243</v>
      </c>
      <c r="D28" s="37">
        <v>0</v>
      </c>
      <c r="F28" s="24">
        <f>ROUND(SUMIF(Определители!I9:I15,"=1",'Базовые цены с учетом расхода'!O9:O15),2)</f>
        <v>0</v>
      </c>
      <c r="G28" s="24"/>
      <c r="H28" s="24"/>
      <c r="I28" s="24"/>
      <c r="J28" s="40"/>
      <c r="K28" s="40"/>
      <c r="L28" s="24"/>
    </row>
    <row r="29" spans="1:12" ht="10.5">
      <c r="A29" s="30">
        <v>20</v>
      </c>
      <c r="B29" s="39" t="s">
        <v>72</v>
      </c>
      <c r="C29" s="34" t="s">
        <v>243</v>
      </c>
      <c r="D29" s="37">
        <v>0</v>
      </c>
      <c r="F29" s="24">
        <f>ROUND(СУММПРОИЗВЕСЛИ(1,Определители!I9:I15," ",'Базовые цены с учетом расхода'!M9:M15,Начисления!I9:I15,0),2)</f>
        <v>0</v>
      </c>
      <c r="G29" s="24"/>
      <c r="H29" s="24"/>
      <c r="I29" s="24"/>
      <c r="J29" s="40"/>
      <c r="K29" s="40"/>
      <c r="L29" s="24"/>
    </row>
    <row r="30" spans="1:12" ht="10.5">
      <c r="A30" s="30">
        <v>21</v>
      </c>
      <c r="B30" s="39" t="s">
        <v>82</v>
      </c>
      <c r="C30" s="34" t="s">
        <v>244</v>
      </c>
      <c r="D30" s="37">
        <v>0</v>
      </c>
      <c r="F30" s="24">
        <f>ROUND((F21+F27+F28),2)</f>
        <v>0</v>
      </c>
      <c r="G30" s="24"/>
      <c r="H30" s="24"/>
      <c r="I30" s="24"/>
      <c r="J30" s="40"/>
      <c r="K30" s="40"/>
      <c r="L30" s="24"/>
    </row>
    <row r="31" spans="1:12" ht="10.5">
      <c r="A31" s="30">
        <v>22</v>
      </c>
      <c r="B31" s="39" t="s">
        <v>83</v>
      </c>
      <c r="C31" s="34" t="s">
        <v>243</v>
      </c>
      <c r="D31" s="37">
        <v>0</v>
      </c>
      <c r="F31" s="24">
        <f>ROUND(SUMIF(Определители!I9:I15,"=2",'Базовые цены с учетом расхода'!B9:B15),2)</f>
        <v>7761.46</v>
      </c>
      <c r="G31" s="24">
        <f>ROUND(SUMIF(Определители!I9:I15,"=2",'Базовые цены с учетом расхода'!C9:C15),2)</f>
        <v>63.81</v>
      </c>
      <c r="H31" s="24">
        <f>ROUND(SUMIF(Определители!I9:I15,"=2",'Базовые цены с учетом расхода'!D9:D15),2)</f>
        <v>944.77</v>
      </c>
      <c r="I31" s="24">
        <f>ROUND(SUMIF(Определители!I9:I15,"=2",'Базовые цены с учетом расхода'!E9:E15),2)</f>
        <v>76.34</v>
      </c>
      <c r="J31" s="40">
        <f>ROUND(SUMIF(Определители!I9:I15,"=2",'Базовые цены с учетом расхода'!I9:I15),8)</f>
        <v>5.7555195</v>
      </c>
      <c r="K31" s="40">
        <f>ROUND(SUMIF(Определители!I9:I15,"=2",'Базовые цены с учетом расхода'!K9:K15),8)</f>
        <v>4.917401</v>
      </c>
      <c r="L31" s="24">
        <f>ROUND(SUMIF(Определители!I9:I15,"=2",'Базовые цены с учетом расхода'!F9:F15),2)</f>
        <v>6752.88</v>
      </c>
    </row>
    <row r="32" spans="1:12" ht="10.5">
      <c r="A32" s="30">
        <v>23</v>
      </c>
      <c r="B32" s="39" t="s">
        <v>75</v>
      </c>
      <c r="C32" s="34" t="s">
        <v>243</v>
      </c>
      <c r="D32" s="37">
        <v>0</v>
      </c>
      <c r="F32" s="24"/>
      <c r="G32" s="24"/>
      <c r="H32" s="24"/>
      <c r="I32" s="24"/>
      <c r="J32" s="40"/>
      <c r="K32" s="40"/>
      <c r="L32" s="24"/>
    </row>
    <row r="33" spans="1:12" ht="10.5">
      <c r="A33" s="30">
        <v>24</v>
      </c>
      <c r="B33" s="39" t="s">
        <v>84</v>
      </c>
      <c r="C33" s="34" t="s">
        <v>243</v>
      </c>
      <c r="D33" s="37">
        <v>0</v>
      </c>
      <c r="F33" s="24">
        <f>ROUND(SUMIF(Определители!G9:G15,"=1",'Базовые цены с учетом расхода'!F9:F15),2)</f>
        <v>392</v>
      </c>
      <c r="G33" s="24"/>
      <c r="H33" s="24"/>
      <c r="I33" s="24"/>
      <c r="J33" s="40"/>
      <c r="K33" s="40"/>
      <c r="L33" s="24"/>
    </row>
    <row r="34" spans="1:12" ht="10.5">
      <c r="A34" s="30">
        <v>25</v>
      </c>
      <c r="B34" s="39" t="s">
        <v>79</v>
      </c>
      <c r="C34" s="34" t="s">
        <v>243</v>
      </c>
      <c r="D34" s="37">
        <v>0</v>
      </c>
      <c r="F34" s="24">
        <f>ROUND(SUMIF(Определители!I9:I15,"=2",'Базовые цены с учетом расхода'!H9:H15),2)</f>
        <v>0</v>
      </c>
      <c r="G34" s="24"/>
      <c r="H34" s="24"/>
      <c r="I34" s="24"/>
      <c r="J34" s="40"/>
      <c r="K34" s="40"/>
      <c r="L34" s="24"/>
    </row>
    <row r="35" spans="1:12" ht="10.5">
      <c r="A35" s="30">
        <v>26</v>
      </c>
      <c r="B35" s="39" t="s">
        <v>80</v>
      </c>
      <c r="C35" s="34" t="s">
        <v>243</v>
      </c>
      <c r="D35" s="37">
        <v>0</v>
      </c>
      <c r="F35" s="24">
        <f>ROUND(SUMIF(Определители!I9:I15,"=2",'Базовые цены с учетом расхода'!N9:N15),2)</f>
        <v>196.1</v>
      </c>
      <c r="G35" s="24"/>
      <c r="H35" s="24"/>
      <c r="I35" s="24"/>
      <c r="J35" s="40"/>
      <c r="K35" s="40"/>
      <c r="L35" s="24"/>
    </row>
    <row r="36" spans="1:12" ht="10.5">
      <c r="A36" s="30">
        <v>27</v>
      </c>
      <c r="B36" s="39" t="s">
        <v>81</v>
      </c>
      <c r="C36" s="34" t="s">
        <v>243</v>
      </c>
      <c r="D36" s="37">
        <v>0</v>
      </c>
      <c r="F36" s="24">
        <f>ROUND(SUMIF(Определители!I9:I15,"=2",'Базовые цены с учетом расхода'!O9:O15),2)</f>
        <v>111.17</v>
      </c>
      <c r="G36" s="24"/>
      <c r="H36" s="24"/>
      <c r="I36" s="24"/>
      <c r="J36" s="40"/>
      <c r="K36" s="40"/>
      <c r="L36" s="24"/>
    </row>
    <row r="37" spans="1:12" ht="10.5">
      <c r="A37" s="30">
        <v>28</v>
      </c>
      <c r="B37" s="39" t="s">
        <v>87</v>
      </c>
      <c r="C37" s="34" t="s">
        <v>244</v>
      </c>
      <c r="D37" s="37">
        <v>0</v>
      </c>
      <c r="F37" s="24">
        <f>ROUND((F31+F35+F36),2)</f>
        <v>8068.73</v>
      </c>
      <c r="G37" s="24"/>
      <c r="H37" s="24"/>
      <c r="I37" s="24"/>
      <c r="J37" s="40"/>
      <c r="K37" s="40"/>
      <c r="L37" s="24"/>
    </row>
    <row r="38" spans="1:12" ht="10.5">
      <c r="A38" s="30">
        <v>29</v>
      </c>
      <c r="B38" s="39" t="s">
        <v>88</v>
      </c>
      <c r="C38" s="34" t="s">
        <v>243</v>
      </c>
      <c r="D38" s="37">
        <v>0</v>
      </c>
      <c r="F38" s="24">
        <f>ROUND(SUMIF(Определители!I9:I15,"=3",'Базовые цены с учетом расхода'!B9:B15),2)</f>
        <v>0</v>
      </c>
      <c r="G38" s="24">
        <f>ROUND(SUMIF(Определители!I9:I15,"=3",'Базовые цены с учетом расхода'!C9:C15),2)</f>
        <v>0</v>
      </c>
      <c r="H38" s="24">
        <f>ROUND(SUMIF(Определители!I9:I15,"=3",'Базовые цены с учетом расхода'!D9:D15),2)</f>
        <v>0</v>
      </c>
      <c r="I38" s="24">
        <f>ROUND(SUMIF(Определители!I9:I15,"=3",'Базовые цены с учетом расхода'!E9:E15),2)</f>
        <v>0</v>
      </c>
      <c r="J38" s="40">
        <f>ROUND(SUMIF(Определители!I9:I15,"=3",'Базовые цены с учетом расхода'!I9:I15),8)</f>
        <v>0</v>
      </c>
      <c r="K38" s="40">
        <f>ROUND(SUMIF(Определители!I9:I15,"=3",'Базовые цены с учетом расхода'!K9:K15),8)</f>
        <v>0</v>
      </c>
      <c r="L38" s="24">
        <f>ROUND(SUMIF(Определители!I9:I15,"=3",'Базовые цены с учетом расхода'!F9:F15),2)</f>
        <v>0</v>
      </c>
    </row>
    <row r="39" spans="1:12" ht="10.5">
      <c r="A39" s="30">
        <v>30</v>
      </c>
      <c r="B39" s="39" t="s">
        <v>79</v>
      </c>
      <c r="C39" s="34" t="s">
        <v>243</v>
      </c>
      <c r="D39" s="37">
        <v>0</v>
      </c>
      <c r="F39" s="24">
        <f>ROUND(SUMIF(Определители!I9:I15,"=3",'Базовые цены с учетом расхода'!H9:H15),2)</f>
        <v>0</v>
      </c>
      <c r="G39" s="24"/>
      <c r="H39" s="24"/>
      <c r="I39" s="24"/>
      <c r="J39" s="40"/>
      <c r="K39" s="40"/>
      <c r="L39" s="24"/>
    </row>
    <row r="40" spans="1:12" ht="10.5">
      <c r="A40" s="30">
        <v>31</v>
      </c>
      <c r="B40" s="39" t="s">
        <v>80</v>
      </c>
      <c r="C40" s="34" t="s">
        <v>243</v>
      </c>
      <c r="D40" s="37">
        <v>0</v>
      </c>
      <c r="F40" s="24">
        <f>ROUND(SUMIF(Определители!I9:I15,"=3",'Базовые цены с учетом расхода'!N9:N15),2)</f>
        <v>0</v>
      </c>
      <c r="G40" s="24"/>
      <c r="H40" s="24"/>
      <c r="I40" s="24"/>
      <c r="J40" s="40"/>
      <c r="K40" s="40"/>
      <c r="L40" s="24"/>
    </row>
    <row r="41" spans="1:12" ht="10.5">
      <c r="A41" s="30">
        <v>32</v>
      </c>
      <c r="B41" s="39" t="s">
        <v>81</v>
      </c>
      <c r="C41" s="34" t="s">
        <v>243</v>
      </c>
      <c r="D41" s="37">
        <v>0</v>
      </c>
      <c r="F41" s="24">
        <f>ROUND(SUMIF(Определители!I9:I15,"=3",'Базовые цены с учетом расхода'!O9:O15),2)</f>
        <v>0</v>
      </c>
      <c r="G41" s="24"/>
      <c r="H41" s="24"/>
      <c r="I41" s="24"/>
      <c r="J41" s="40"/>
      <c r="K41" s="40"/>
      <c r="L41" s="24"/>
    </row>
    <row r="42" spans="1:12" ht="10.5">
      <c r="A42" s="30">
        <v>33</v>
      </c>
      <c r="B42" s="39" t="s">
        <v>89</v>
      </c>
      <c r="C42" s="34" t="s">
        <v>244</v>
      </c>
      <c r="D42" s="37">
        <v>0</v>
      </c>
      <c r="F42" s="24">
        <f>ROUND((F38+F40+F41),2)</f>
        <v>0</v>
      </c>
      <c r="G42" s="24"/>
      <c r="H42" s="24"/>
      <c r="I42" s="24"/>
      <c r="J42" s="40"/>
      <c r="K42" s="40"/>
      <c r="L42" s="24"/>
    </row>
    <row r="43" spans="1:12" ht="10.5">
      <c r="A43" s="30">
        <v>34</v>
      </c>
      <c r="B43" s="39" t="s">
        <v>90</v>
      </c>
      <c r="C43" s="34" t="s">
        <v>243</v>
      </c>
      <c r="D43" s="37">
        <v>0</v>
      </c>
      <c r="F43" s="24">
        <f>ROUND(SUMIF(Определители!I9:I15,"=4",'Базовые цены с учетом расхода'!B9:B15),2)</f>
        <v>0</v>
      </c>
      <c r="G43" s="24">
        <f>ROUND(SUMIF(Определители!I9:I15,"=4",'Базовые цены с учетом расхода'!C9:C15),2)</f>
        <v>0</v>
      </c>
      <c r="H43" s="24">
        <f>ROUND(SUMIF(Определители!I9:I15,"=4",'Базовые цены с учетом расхода'!D9:D15),2)</f>
        <v>0</v>
      </c>
      <c r="I43" s="24">
        <f>ROUND(SUMIF(Определители!I9:I15,"=4",'Базовые цены с учетом расхода'!E9:E15),2)</f>
        <v>0</v>
      </c>
      <c r="J43" s="40">
        <f>ROUND(SUMIF(Определители!I9:I15,"=4",'Базовые цены с учетом расхода'!I9:I15),8)</f>
        <v>0</v>
      </c>
      <c r="K43" s="40">
        <f>ROUND(SUMIF(Определители!I9:I15,"=4",'Базовые цены с учетом расхода'!K9:K15),8)</f>
        <v>0</v>
      </c>
      <c r="L43" s="24">
        <f>ROUND(SUMIF(Определители!I9:I15,"=4",'Базовые цены с учетом расхода'!F9:F15),2)</f>
        <v>0</v>
      </c>
    </row>
    <row r="44" spans="1:12" ht="10.5">
      <c r="A44" s="30">
        <v>35</v>
      </c>
      <c r="B44" s="39" t="s">
        <v>75</v>
      </c>
      <c r="C44" s="34" t="s">
        <v>243</v>
      </c>
      <c r="D44" s="37">
        <v>0</v>
      </c>
      <c r="F44" s="24"/>
      <c r="G44" s="24"/>
      <c r="H44" s="24"/>
      <c r="I44" s="24"/>
      <c r="J44" s="40"/>
      <c r="K44" s="40"/>
      <c r="L44" s="24"/>
    </row>
    <row r="45" spans="1:12" ht="10.5">
      <c r="A45" s="30">
        <v>36</v>
      </c>
      <c r="B45" s="39" t="s">
        <v>91</v>
      </c>
      <c r="C45" s="34" t="s">
        <v>243</v>
      </c>
      <c r="D45" s="37">
        <v>0</v>
      </c>
      <c r="F45" s="24"/>
      <c r="G45" s="24"/>
      <c r="H45" s="24"/>
      <c r="I45" s="24"/>
      <c r="J45" s="40"/>
      <c r="K45" s="40"/>
      <c r="L45" s="24"/>
    </row>
    <row r="46" spans="1:12" ht="10.5">
      <c r="A46" s="30">
        <v>37</v>
      </c>
      <c r="B46" s="39" t="s">
        <v>79</v>
      </c>
      <c r="C46" s="34" t="s">
        <v>243</v>
      </c>
      <c r="D46" s="37">
        <v>0</v>
      </c>
      <c r="F46" s="24">
        <f>ROUND(SUMIF(Определители!I9:I15,"=4",'Базовые цены с учетом расхода'!H9:H15),2)</f>
        <v>0</v>
      </c>
      <c r="G46" s="24"/>
      <c r="H46" s="24"/>
      <c r="I46" s="24"/>
      <c r="J46" s="40"/>
      <c r="K46" s="40"/>
      <c r="L46" s="24"/>
    </row>
    <row r="47" spans="1:12" ht="10.5">
      <c r="A47" s="30">
        <v>38</v>
      </c>
      <c r="B47" s="39" t="s">
        <v>80</v>
      </c>
      <c r="C47" s="34" t="s">
        <v>243</v>
      </c>
      <c r="D47" s="37">
        <v>0</v>
      </c>
      <c r="F47" s="24">
        <f>ROUND(SUMIF(Определители!I9:I15,"=4",'Базовые цены с учетом расхода'!N9:N15),2)</f>
        <v>0</v>
      </c>
      <c r="G47" s="24"/>
      <c r="H47" s="24"/>
      <c r="I47" s="24"/>
      <c r="J47" s="40"/>
      <c r="K47" s="40"/>
      <c r="L47" s="24"/>
    </row>
    <row r="48" spans="1:12" ht="10.5">
      <c r="A48" s="30">
        <v>39</v>
      </c>
      <c r="B48" s="39" t="s">
        <v>81</v>
      </c>
      <c r="C48" s="34" t="s">
        <v>243</v>
      </c>
      <c r="D48" s="37">
        <v>0</v>
      </c>
      <c r="F48" s="24">
        <f>ROUND(SUMIF(Определители!I9:I15,"=4",'Базовые цены с учетом расхода'!O9:O15),2)</f>
        <v>0</v>
      </c>
      <c r="G48" s="24"/>
      <c r="H48" s="24"/>
      <c r="I48" s="24"/>
      <c r="J48" s="40"/>
      <c r="K48" s="40"/>
      <c r="L48" s="24"/>
    </row>
    <row r="49" spans="1:12" ht="10.5">
      <c r="A49" s="30">
        <v>40</v>
      </c>
      <c r="B49" s="39" t="s">
        <v>72</v>
      </c>
      <c r="C49" s="34" t="s">
        <v>243</v>
      </c>
      <c r="D49" s="37">
        <v>0</v>
      </c>
      <c r="F49" s="24">
        <f>ROUND(СУММПРОИЗВЕСЛИ(1,Определители!I9:I15," ",'Базовые цены с учетом расхода'!M9:M15,Начисления!I9:I15,0),2)</f>
        <v>0</v>
      </c>
      <c r="G49" s="24"/>
      <c r="H49" s="24"/>
      <c r="I49" s="24"/>
      <c r="J49" s="40"/>
      <c r="K49" s="40"/>
      <c r="L49" s="24"/>
    </row>
    <row r="50" spans="1:12" ht="10.5">
      <c r="A50" s="30">
        <v>41</v>
      </c>
      <c r="B50" s="39" t="s">
        <v>92</v>
      </c>
      <c r="C50" s="34" t="s">
        <v>244</v>
      </c>
      <c r="D50" s="37">
        <v>0</v>
      </c>
      <c r="F50" s="24">
        <f>ROUND((F43+F47+F48),2)</f>
        <v>0</v>
      </c>
      <c r="G50" s="24"/>
      <c r="H50" s="24"/>
      <c r="I50" s="24"/>
      <c r="J50" s="40"/>
      <c r="K50" s="40"/>
      <c r="L50" s="24"/>
    </row>
    <row r="51" spans="1:12" ht="10.5">
      <c r="A51" s="30">
        <v>42</v>
      </c>
      <c r="B51" s="39" t="s">
        <v>93</v>
      </c>
      <c r="C51" s="34" t="s">
        <v>243</v>
      </c>
      <c r="D51" s="37">
        <v>0</v>
      </c>
      <c r="F51" s="24">
        <f>ROUND(SUMIF(Определители!I9:I15,"=5",'Базовые цены с учетом расхода'!B9:B15),2)</f>
        <v>0</v>
      </c>
      <c r="G51" s="24">
        <f>ROUND(SUMIF(Определители!I9:I15,"=5",'Базовые цены с учетом расхода'!C9:C15),2)</f>
        <v>0</v>
      </c>
      <c r="H51" s="24">
        <f>ROUND(SUMIF(Определители!I9:I15,"=5",'Базовые цены с учетом расхода'!D9:D15),2)</f>
        <v>0</v>
      </c>
      <c r="I51" s="24">
        <f>ROUND(SUMIF(Определители!I9:I15,"=5",'Базовые цены с учетом расхода'!E9:E15),2)</f>
        <v>0</v>
      </c>
      <c r="J51" s="40">
        <f>ROUND(SUMIF(Определители!I9:I15,"=5",'Базовые цены с учетом расхода'!I9:I15),8)</f>
        <v>0</v>
      </c>
      <c r="K51" s="40">
        <f>ROUND(SUMIF(Определители!I9:I15,"=5",'Базовые цены с учетом расхода'!K9:K15),8)</f>
        <v>0</v>
      </c>
      <c r="L51" s="24">
        <f>ROUND(SUMIF(Определители!I9:I15,"=5",'Базовые цены с учетом расхода'!F9:F15),2)</f>
        <v>0</v>
      </c>
    </row>
    <row r="52" spans="1:12" ht="10.5">
      <c r="A52" s="30">
        <v>43</v>
      </c>
      <c r="B52" s="39" t="s">
        <v>79</v>
      </c>
      <c r="C52" s="34" t="s">
        <v>243</v>
      </c>
      <c r="D52" s="37">
        <v>0</v>
      </c>
      <c r="F52" s="24">
        <f>ROUND(SUMIF(Определители!I9:I15,"=5",'Базовые цены с учетом расхода'!H9:H15),2)</f>
        <v>0</v>
      </c>
      <c r="G52" s="24"/>
      <c r="H52" s="24"/>
      <c r="I52" s="24"/>
      <c r="J52" s="40"/>
      <c r="K52" s="40"/>
      <c r="L52" s="24"/>
    </row>
    <row r="53" spans="1:12" ht="10.5">
      <c r="A53" s="30">
        <v>44</v>
      </c>
      <c r="B53" s="39" t="s">
        <v>80</v>
      </c>
      <c r="C53" s="34" t="s">
        <v>243</v>
      </c>
      <c r="D53" s="37">
        <v>0</v>
      </c>
      <c r="F53" s="24">
        <f>ROUND(SUMIF(Определители!I9:I15,"=5",'Базовые цены с учетом расхода'!N9:N15),2)</f>
        <v>0</v>
      </c>
      <c r="G53" s="24"/>
      <c r="H53" s="24"/>
      <c r="I53" s="24"/>
      <c r="J53" s="40"/>
      <c r="K53" s="40"/>
      <c r="L53" s="24"/>
    </row>
    <row r="54" spans="1:12" ht="10.5">
      <c r="A54" s="30">
        <v>45</v>
      </c>
      <c r="B54" s="39" t="s">
        <v>81</v>
      </c>
      <c r="C54" s="34" t="s">
        <v>243</v>
      </c>
      <c r="D54" s="37">
        <v>0</v>
      </c>
      <c r="F54" s="24">
        <f>ROUND(SUMIF(Определители!I9:I15,"=5",'Базовые цены с учетом расхода'!O9:O15),2)</f>
        <v>0</v>
      </c>
      <c r="G54" s="24"/>
      <c r="H54" s="24"/>
      <c r="I54" s="24"/>
      <c r="J54" s="40"/>
      <c r="K54" s="40"/>
      <c r="L54" s="24"/>
    </row>
    <row r="55" spans="1:12" ht="10.5">
      <c r="A55" s="30">
        <v>46</v>
      </c>
      <c r="B55" s="39" t="s">
        <v>94</v>
      </c>
      <c r="C55" s="34" t="s">
        <v>244</v>
      </c>
      <c r="D55" s="37">
        <v>0</v>
      </c>
      <c r="F55" s="24">
        <f>ROUND((F51+F53+F54),2)</f>
        <v>0</v>
      </c>
      <c r="G55" s="24"/>
      <c r="H55" s="24"/>
      <c r="I55" s="24"/>
      <c r="J55" s="40"/>
      <c r="K55" s="40"/>
      <c r="L55" s="24"/>
    </row>
    <row r="56" spans="1:12" ht="10.5">
      <c r="A56" s="30">
        <v>47</v>
      </c>
      <c r="B56" s="39" t="s">
        <v>95</v>
      </c>
      <c r="C56" s="34" t="s">
        <v>243</v>
      </c>
      <c r="D56" s="37">
        <v>0</v>
      </c>
      <c r="F56" s="24">
        <f>ROUND(SUMIF(Определители!I9:I15,"=6",'Базовые цены с учетом расхода'!B9:B15),2)</f>
        <v>0</v>
      </c>
      <c r="G56" s="24">
        <f>ROUND(SUMIF(Определители!I9:I15,"=6",'Базовые цены с учетом расхода'!C9:C15),2)</f>
        <v>0</v>
      </c>
      <c r="H56" s="24">
        <f>ROUND(SUMIF(Определители!I9:I15,"=6",'Базовые цены с учетом расхода'!D9:D15),2)</f>
        <v>0</v>
      </c>
      <c r="I56" s="24">
        <f>ROUND(SUMIF(Определители!I9:I15,"=6",'Базовые цены с учетом расхода'!E9:E15),2)</f>
        <v>0</v>
      </c>
      <c r="J56" s="40">
        <f>ROUND(SUMIF(Определители!I9:I15,"=6",'Базовые цены с учетом расхода'!I9:I15),8)</f>
        <v>0</v>
      </c>
      <c r="K56" s="40">
        <f>ROUND(SUMIF(Определители!I9:I15,"=6",'Базовые цены с учетом расхода'!K9:K15),8)</f>
        <v>0</v>
      </c>
      <c r="L56" s="24">
        <f>ROUND(SUMIF(Определители!I9:I15,"=6",'Базовые цены с учетом расхода'!F9:F15),2)</f>
        <v>0</v>
      </c>
    </row>
    <row r="57" spans="1:12" ht="10.5">
      <c r="A57" s="30">
        <v>48</v>
      </c>
      <c r="B57" s="39" t="s">
        <v>79</v>
      </c>
      <c r="C57" s="34" t="s">
        <v>243</v>
      </c>
      <c r="D57" s="37">
        <v>0</v>
      </c>
      <c r="F57" s="24">
        <f>ROUND(SUMIF(Определители!I9:I15,"=6",'Базовые цены с учетом расхода'!H9:H15),2)</f>
        <v>0</v>
      </c>
      <c r="G57" s="24"/>
      <c r="H57" s="24"/>
      <c r="I57" s="24"/>
      <c r="J57" s="40"/>
      <c r="K57" s="40"/>
      <c r="L57" s="24"/>
    </row>
    <row r="58" spans="1:12" ht="10.5">
      <c r="A58" s="30">
        <v>49</v>
      </c>
      <c r="B58" s="39" t="s">
        <v>80</v>
      </c>
      <c r="C58" s="34" t="s">
        <v>243</v>
      </c>
      <c r="D58" s="37">
        <v>0</v>
      </c>
      <c r="F58" s="24">
        <f>ROUND(SUMIF(Определители!I9:I15,"=6",'Базовые цены с учетом расхода'!N9:N15),2)</f>
        <v>0</v>
      </c>
      <c r="G58" s="24"/>
      <c r="H58" s="24"/>
      <c r="I58" s="24"/>
      <c r="J58" s="40"/>
      <c r="K58" s="40"/>
      <c r="L58" s="24"/>
    </row>
    <row r="59" spans="1:12" ht="10.5">
      <c r="A59" s="30">
        <v>50</v>
      </c>
      <c r="B59" s="39" t="s">
        <v>81</v>
      </c>
      <c r="C59" s="34" t="s">
        <v>243</v>
      </c>
      <c r="D59" s="37">
        <v>0</v>
      </c>
      <c r="F59" s="24">
        <f>ROUND(SUMIF(Определители!I9:I15,"=6",'Базовые цены с учетом расхода'!O9:O15),2)</f>
        <v>0</v>
      </c>
      <c r="G59" s="24"/>
      <c r="H59" s="24"/>
      <c r="I59" s="24"/>
      <c r="J59" s="40"/>
      <c r="K59" s="40"/>
      <c r="L59" s="24"/>
    </row>
    <row r="60" spans="1:12" ht="10.5">
      <c r="A60" s="30">
        <v>51</v>
      </c>
      <c r="B60" s="39" t="s">
        <v>96</v>
      </c>
      <c r="C60" s="34" t="s">
        <v>244</v>
      </c>
      <c r="D60" s="37">
        <v>0</v>
      </c>
      <c r="F60" s="24">
        <f>ROUND((F56+F58+F59),2)</f>
        <v>0</v>
      </c>
      <c r="G60" s="24"/>
      <c r="H60" s="24"/>
      <c r="I60" s="24"/>
      <c r="J60" s="40"/>
      <c r="K60" s="40"/>
      <c r="L60" s="24"/>
    </row>
    <row r="61" spans="1:12" ht="10.5">
      <c r="A61" s="30">
        <v>52</v>
      </c>
      <c r="B61" s="39" t="s">
        <v>97</v>
      </c>
      <c r="C61" s="34" t="s">
        <v>243</v>
      </c>
      <c r="D61" s="37">
        <v>0</v>
      </c>
      <c r="F61" s="24">
        <f>ROUND(SUMIF(Определители!I9:I15,"=7",'Базовые цены с учетом расхода'!B9:B15),2)</f>
        <v>0</v>
      </c>
      <c r="G61" s="24">
        <f>ROUND(SUMIF(Определители!I9:I15,"=7",'Базовые цены с учетом расхода'!C9:C15),2)</f>
        <v>0</v>
      </c>
      <c r="H61" s="24">
        <f>ROUND(SUMIF(Определители!I9:I15,"=7",'Базовые цены с учетом расхода'!D9:D15),2)</f>
        <v>0</v>
      </c>
      <c r="I61" s="24">
        <f>ROUND(SUMIF(Определители!I9:I15,"=7",'Базовые цены с учетом расхода'!E9:E15),2)</f>
        <v>0</v>
      </c>
      <c r="J61" s="40">
        <f>ROUND(SUMIF(Определители!I9:I15,"=7",'Базовые цены с учетом расхода'!I9:I15),8)</f>
        <v>0</v>
      </c>
      <c r="K61" s="40">
        <f>ROUND(SUMIF(Определители!I9:I15,"=7",'Базовые цены с учетом расхода'!K9:K15),8)</f>
        <v>0</v>
      </c>
      <c r="L61" s="24">
        <f>ROUND(SUMIF(Определители!I9:I15,"=7",'Базовые цены с учетом расхода'!F9:F15),2)</f>
        <v>0</v>
      </c>
    </row>
    <row r="62" spans="1:12" ht="10.5">
      <c r="A62" s="30">
        <v>53</v>
      </c>
      <c r="B62" s="39" t="s">
        <v>75</v>
      </c>
      <c r="C62" s="34" t="s">
        <v>243</v>
      </c>
      <c r="D62" s="37">
        <v>0</v>
      </c>
      <c r="F62" s="24"/>
      <c r="G62" s="24"/>
      <c r="H62" s="24"/>
      <c r="I62" s="24"/>
      <c r="J62" s="40"/>
      <c r="K62" s="40"/>
      <c r="L62" s="24"/>
    </row>
    <row r="63" spans="1:12" ht="10.5">
      <c r="A63" s="30">
        <v>54</v>
      </c>
      <c r="B63" s="39" t="s">
        <v>98</v>
      </c>
      <c r="C63" s="34" t="s">
        <v>243</v>
      </c>
      <c r="D63" s="37">
        <v>0</v>
      </c>
      <c r="F63" s="24">
        <f>ROUND(SUMIF(Определители!G9:G15,"=1",'Базовые цены с учетом расхода'!F9:F15),2)</f>
        <v>392</v>
      </c>
      <c r="G63" s="24"/>
      <c r="H63" s="24"/>
      <c r="I63" s="24"/>
      <c r="J63" s="40"/>
      <c r="K63" s="40"/>
      <c r="L63" s="24"/>
    </row>
    <row r="64" spans="1:12" ht="10.5">
      <c r="A64" s="30">
        <v>55</v>
      </c>
      <c r="B64" s="39" t="s">
        <v>79</v>
      </c>
      <c r="C64" s="34" t="s">
        <v>243</v>
      </c>
      <c r="D64" s="37">
        <v>0</v>
      </c>
      <c r="F64" s="24">
        <f>ROUND(SUMIF(Определители!I9:I15,"=7",'Базовые цены с учетом расхода'!H9:H15),2)</f>
        <v>0</v>
      </c>
      <c r="G64" s="24"/>
      <c r="H64" s="24"/>
      <c r="I64" s="24"/>
      <c r="J64" s="40"/>
      <c r="K64" s="40"/>
      <c r="L64" s="24"/>
    </row>
    <row r="65" spans="1:12" ht="10.5">
      <c r="A65" s="30">
        <v>56</v>
      </c>
      <c r="B65" s="39" t="s">
        <v>99</v>
      </c>
      <c r="C65" s="34" t="s">
        <v>243</v>
      </c>
      <c r="D65" s="37">
        <v>0</v>
      </c>
      <c r="F65" s="24">
        <f>ROUND(SUMIF(Определители!I9:I15,"=7",'Базовые цены с учетом расхода'!N9:N15),2)</f>
        <v>0</v>
      </c>
      <c r="G65" s="24"/>
      <c r="H65" s="24"/>
      <c r="I65" s="24"/>
      <c r="J65" s="40"/>
      <c r="K65" s="40"/>
      <c r="L65" s="24"/>
    </row>
    <row r="66" spans="1:12" ht="10.5">
      <c r="A66" s="30">
        <v>57</v>
      </c>
      <c r="B66" s="39" t="s">
        <v>81</v>
      </c>
      <c r="C66" s="34" t="s">
        <v>243</v>
      </c>
      <c r="D66" s="37">
        <v>0</v>
      </c>
      <c r="F66" s="24">
        <f>ROUND(SUMIF(Определители!I9:I15,"=7",'Базовые цены с учетом расхода'!O9:O15),2)</f>
        <v>0</v>
      </c>
      <c r="G66" s="24"/>
      <c r="H66" s="24"/>
      <c r="I66" s="24"/>
      <c r="J66" s="40"/>
      <c r="K66" s="40"/>
      <c r="L66" s="24"/>
    </row>
    <row r="67" spans="1:12" ht="10.5">
      <c r="A67" s="30">
        <v>58</v>
      </c>
      <c r="B67" s="39" t="s">
        <v>100</v>
      </c>
      <c r="C67" s="34" t="s">
        <v>244</v>
      </c>
      <c r="D67" s="37">
        <v>0</v>
      </c>
      <c r="F67" s="24">
        <f>ROUND((F61+F65+F66),2)</f>
        <v>0</v>
      </c>
      <c r="G67" s="24"/>
      <c r="H67" s="24"/>
      <c r="I67" s="24"/>
      <c r="J67" s="40"/>
      <c r="K67" s="40"/>
      <c r="L67" s="24"/>
    </row>
    <row r="68" spans="1:12" ht="10.5">
      <c r="A68" s="30">
        <v>59</v>
      </c>
      <c r="B68" s="39" t="s">
        <v>101</v>
      </c>
      <c r="C68" s="34" t="s">
        <v>243</v>
      </c>
      <c r="D68" s="37">
        <v>0</v>
      </c>
      <c r="F68" s="24">
        <f>ROUND(SUMIF(Определители!I9:I15,"=9",'Базовые цены с учетом расхода'!B9:B15),2)</f>
        <v>0</v>
      </c>
      <c r="G68" s="24">
        <f>ROUND(SUMIF(Определители!I9:I15,"=9",'Базовые цены с учетом расхода'!C9:C15),2)</f>
        <v>0</v>
      </c>
      <c r="H68" s="24">
        <f>ROUND(SUMIF(Определители!I9:I15,"=9",'Базовые цены с учетом расхода'!D9:D15),2)</f>
        <v>0</v>
      </c>
      <c r="I68" s="24">
        <f>ROUND(SUMIF(Определители!I9:I15,"=9",'Базовые цены с учетом расхода'!E9:E15),2)</f>
        <v>0</v>
      </c>
      <c r="J68" s="40">
        <f>ROUND(SUMIF(Определители!I9:I15,"=9",'Базовые цены с учетом расхода'!I9:I15),8)</f>
        <v>0</v>
      </c>
      <c r="K68" s="40">
        <f>ROUND(SUMIF(Определители!I9:I15,"=9",'Базовые цены с учетом расхода'!K9:K15),8)</f>
        <v>0</v>
      </c>
      <c r="L68" s="24">
        <f>ROUND(SUMIF(Определители!I9:I15,"=9",'Базовые цены с учетом расхода'!F9:F15),2)</f>
        <v>0</v>
      </c>
    </row>
    <row r="69" spans="1:12" ht="10.5">
      <c r="A69" s="30">
        <v>60</v>
      </c>
      <c r="B69" s="39" t="s">
        <v>99</v>
      </c>
      <c r="C69" s="34" t="s">
        <v>243</v>
      </c>
      <c r="D69" s="37">
        <v>0</v>
      </c>
      <c r="F69" s="24">
        <f>ROUND(SUMIF(Определители!I9:I15,"=9",'Базовые цены с учетом расхода'!N9:N15),2)</f>
        <v>0</v>
      </c>
      <c r="G69" s="24"/>
      <c r="H69" s="24"/>
      <c r="I69" s="24"/>
      <c r="J69" s="40"/>
      <c r="K69" s="40"/>
      <c r="L69" s="24"/>
    </row>
    <row r="70" spans="1:12" ht="10.5">
      <c r="A70" s="30">
        <v>61</v>
      </c>
      <c r="B70" s="39" t="s">
        <v>81</v>
      </c>
      <c r="C70" s="34" t="s">
        <v>243</v>
      </c>
      <c r="D70" s="37">
        <v>0</v>
      </c>
      <c r="F70" s="24">
        <f>ROUND(SUMIF(Определители!I9:I15,"=9",'Базовые цены с учетом расхода'!O9:O15),2)</f>
        <v>0</v>
      </c>
      <c r="G70" s="24"/>
      <c r="H70" s="24"/>
      <c r="I70" s="24"/>
      <c r="J70" s="40"/>
      <c r="K70" s="40"/>
      <c r="L70" s="24"/>
    </row>
    <row r="71" spans="1:12" ht="10.5">
      <c r="A71" s="30">
        <v>62</v>
      </c>
      <c r="B71" s="39" t="s">
        <v>102</v>
      </c>
      <c r="C71" s="34" t="s">
        <v>244</v>
      </c>
      <c r="D71" s="37">
        <v>0</v>
      </c>
      <c r="F71" s="24">
        <f>ROUND((F68+F69+F70),2)</f>
        <v>0</v>
      </c>
      <c r="G71" s="24"/>
      <c r="H71" s="24"/>
      <c r="I71" s="24"/>
      <c r="J71" s="40"/>
      <c r="K71" s="40"/>
      <c r="L71" s="24"/>
    </row>
    <row r="72" spans="1:12" ht="10.5">
      <c r="A72" s="30">
        <v>63</v>
      </c>
      <c r="B72" s="39" t="s">
        <v>103</v>
      </c>
      <c r="C72" s="34" t="s">
        <v>243</v>
      </c>
      <c r="D72" s="37">
        <v>0</v>
      </c>
      <c r="F72" s="24">
        <f>ROUND(SUMIF(Определители!I9:I15,"=:",'Базовые цены с учетом расхода'!B9:B15),2)</f>
        <v>0</v>
      </c>
      <c r="G72" s="24">
        <f>ROUND(SUMIF(Определители!I9:I15,"=:",'Базовые цены с учетом расхода'!C9:C15),2)</f>
        <v>0</v>
      </c>
      <c r="H72" s="24">
        <f>ROUND(SUMIF(Определители!I9:I15,"=:",'Базовые цены с учетом расхода'!D9:D15),2)</f>
        <v>0</v>
      </c>
      <c r="I72" s="24">
        <f>ROUND(SUMIF(Определители!I9:I15,"=:",'Базовые цены с учетом расхода'!E9:E15),2)</f>
        <v>0</v>
      </c>
      <c r="J72" s="40">
        <f>ROUND(SUMIF(Определители!I9:I15,"=:",'Базовые цены с учетом расхода'!I9:I15),8)</f>
        <v>0</v>
      </c>
      <c r="K72" s="40">
        <f>ROUND(SUMIF(Определители!I9:I15,"=:",'Базовые цены с учетом расхода'!K9:K15),8)</f>
        <v>0</v>
      </c>
      <c r="L72" s="24">
        <f>ROUND(SUMIF(Определители!I9:I15,"=:",'Базовые цены с учетом расхода'!F9:F15),2)</f>
        <v>0</v>
      </c>
    </row>
    <row r="73" spans="1:12" ht="10.5">
      <c r="A73" s="30">
        <v>64</v>
      </c>
      <c r="B73" s="39" t="s">
        <v>79</v>
      </c>
      <c r="C73" s="34" t="s">
        <v>243</v>
      </c>
      <c r="D73" s="37">
        <v>0</v>
      </c>
      <c r="F73" s="24">
        <f>ROUND(SUMIF(Определители!I9:I15,"=:",'Базовые цены с учетом расхода'!H9:H15),2)</f>
        <v>0</v>
      </c>
      <c r="G73" s="24"/>
      <c r="H73" s="24"/>
      <c r="I73" s="24"/>
      <c r="J73" s="40"/>
      <c r="K73" s="40"/>
      <c r="L73" s="24"/>
    </row>
    <row r="74" spans="1:12" ht="10.5">
      <c r="A74" s="30">
        <v>65</v>
      </c>
      <c r="B74" s="39" t="s">
        <v>99</v>
      </c>
      <c r="C74" s="34" t="s">
        <v>243</v>
      </c>
      <c r="D74" s="37">
        <v>0</v>
      </c>
      <c r="F74" s="24">
        <f>ROUND(SUMIF(Определители!I9:I15,"=:",'Базовые цены с учетом расхода'!N9:N15),2)</f>
        <v>0</v>
      </c>
      <c r="G74" s="24"/>
      <c r="H74" s="24"/>
      <c r="I74" s="24"/>
      <c r="J74" s="40"/>
      <c r="K74" s="40"/>
      <c r="L74" s="24"/>
    </row>
    <row r="75" spans="1:12" ht="10.5">
      <c r="A75" s="30">
        <v>66</v>
      </c>
      <c r="B75" s="39" t="s">
        <v>81</v>
      </c>
      <c r="C75" s="34" t="s">
        <v>243</v>
      </c>
      <c r="D75" s="37">
        <v>0</v>
      </c>
      <c r="F75" s="24">
        <f>ROUND(SUMIF(Определители!I9:I15,"=:",'Базовые цены с учетом расхода'!O9:O15),2)</f>
        <v>0</v>
      </c>
      <c r="G75" s="24"/>
      <c r="H75" s="24"/>
      <c r="I75" s="24"/>
      <c r="J75" s="40"/>
      <c r="K75" s="40"/>
      <c r="L75" s="24"/>
    </row>
    <row r="76" spans="1:12" ht="10.5">
      <c r="A76" s="30">
        <v>67</v>
      </c>
      <c r="B76" s="39" t="s">
        <v>104</v>
      </c>
      <c r="C76" s="34" t="s">
        <v>244</v>
      </c>
      <c r="D76" s="37">
        <v>0</v>
      </c>
      <c r="F76" s="24">
        <f>ROUND((F72+F74+F75),2)</f>
        <v>0</v>
      </c>
      <c r="G76" s="24"/>
      <c r="H76" s="24"/>
      <c r="I76" s="24"/>
      <c r="J76" s="40"/>
      <c r="K76" s="40"/>
      <c r="L76" s="24"/>
    </row>
    <row r="77" spans="1:12" ht="10.5">
      <c r="A77" s="30">
        <v>68</v>
      </c>
      <c r="B77" s="39" t="s">
        <v>105</v>
      </c>
      <c r="C77" s="34" t="s">
        <v>243</v>
      </c>
      <c r="D77" s="37">
        <v>0</v>
      </c>
      <c r="F77" s="24">
        <f>ROUND(SUMIF(Определители!I9:I15,"=8",'Базовые цены с учетом расхода'!B9:B15),2)</f>
        <v>0</v>
      </c>
      <c r="G77" s="24">
        <f>ROUND(SUMIF(Определители!I9:I15,"=8",'Базовые цены с учетом расхода'!C9:C15),2)</f>
        <v>0</v>
      </c>
      <c r="H77" s="24">
        <f>ROUND(SUMIF(Определители!I9:I15,"=8",'Базовые цены с учетом расхода'!D9:D15),2)</f>
        <v>0</v>
      </c>
      <c r="I77" s="24">
        <f>ROUND(SUMIF(Определители!I9:I15,"=8",'Базовые цены с учетом расхода'!E9:E15),2)</f>
        <v>0</v>
      </c>
      <c r="J77" s="40">
        <f>ROUND(SUMIF(Определители!I9:I15,"=8",'Базовые цены с учетом расхода'!I9:I15),8)</f>
        <v>0</v>
      </c>
      <c r="K77" s="40">
        <f>ROUND(SUMIF(Определители!I9:I15,"=8",'Базовые цены с учетом расхода'!K9:K15),8)</f>
        <v>0</v>
      </c>
      <c r="L77" s="24">
        <f>ROUND(SUMIF(Определители!I9:I15,"=8",'Базовые цены с учетом расхода'!F9:F15),2)</f>
        <v>0</v>
      </c>
    </row>
    <row r="78" spans="1:12" ht="10.5">
      <c r="A78" s="30">
        <v>69</v>
      </c>
      <c r="B78" s="39" t="s">
        <v>79</v>
      </c>
      <c r="C78" s="34" t="s">
        <v>243</v>
      </c>
      <c r="D78" s="37">
        <v>0</v>
      </c>
      <c r="F78" s="24">
        <f>ROUND(SUMIF(Определители!I9:I15,"=8",'Базовые цены с учетом расхода'!H9:H15),2)</f>
        <v>0</v>
      </c>
      <c r="G78" s="24"/>
      <c r="H78" s="24"/>
      <c r="I78" s="24"/>
      <c r="J78" s="40"/>
      <c r="K78" s="40"/>
      <c r="L78" s="24"/>
    </row>
    <row r="79" spans="1:12" ht="10.5">
      <c r="A79" s="30">
        <v>70</v>
      </c>
      <c r="B79" s="39" t="s">
        <v>137</v>
      </c>
      <c r="C79" s="34" t="s">
        <v>244</v>
      </c>
      <c r="D79" s="37">
        <v>0</v>
      </c>
      <c r="F79" s="24">
        <f>ROUND((F20+F30+F37+F42+F50+F55+F60+F67+F71+F76+F77),2)</f>
        <v>8068.73</v>
      </c>
      <c r="G79" s="24">
        <f>ROUND((G20+G30+G37+G42+G50+G55+G60+G67+G71+G76+G77),2)</f>
        <v>0</v>
      </c>
      <c r="H79" s="24">
        <f>ROUND((H20+H30+H37+H42+H50+H55+H60+H67+H71+H76+H77),2)</f>
        <v>0</v>
      </c>
      <c r="I79" s="24">
        <f>ROUND((I20+I30+I37+I42+I50+I55+I60+I67+I71+I76+I77),2)</f>
        <v>0</v>
      </c>
      <c r="J79" s="40">
        <f>ROUND((J20+J30+J37+J42+J50+J55+J60+J67+J71+J76+J77),8)</f>
        <v>0</v>
      </c>
      <c r="K79" s="40">
        <f>ROUND((K20+K30+K37+K42+K50+K55+K60+K67+K71+K76+K77),8)</f>
        <v>0</v>
      </c>
      <c r="L79" s="24">
        <f>ROUND((L20+L30+L37+L42+L50+L55+L60+L67+L71+L76+L77),2)</f>
        <v>0</v>
      </c>
    </row>
    <row r="80" spans="1:12" ht="10.5">
      <c r="A80" s="30">
        <v>71</v>
      </c>
      <c r="B80" s="39" t="s">
        <v>107</v>
      </c>
      <c r="C80" s="34" t="s">
        <v>244</v>
      </c>
      <c r="D80" s="37">
        <v>0</v>
      </c>
      <c r="F80" s="24">
        <f>ROUND((F26+F34+F39+F46+F52+F57+F64+F73+F78),2)</f>
        <v>0</v>
      </c>
      <c r="G80" s="24"/>
      <c r="H80" s="24"/>
      <c r="I80" s="24"/>
      <c r="J80" s="40"/>
      <c r="K80" s="40"/>
      <c r="L80" s="24"/>
    </row>
    <row r="81" spans="1:12" ht="10.5">
      <c r="A81" s="30">
        <v>72</v>
      </c>
      <c r="B81" s="39" t="s">
        <v>108</v>
      </c>
      <c r="C81" s="34" t="s">
        <v>244</v>
      </c>
      <c r="D81" s="37">
        <v>0</v>
      </c>
      <c r="F81" s="24">
        <f>ROUND((F27+F35+F40+F47+F53+F58+F65+F69+F74),2)</f>
        <v>196.1</v>
      </c>
      <c r="G81" s="24"/>
      <c r="H81" s="24"/>
      <c r="I81" s="24"/>
      <c r="J81" s="40"/>
      <c r="K81" s="40"/>
      <c r="L81" s="24"/>
    </row>
    <row r="82" spans="1:12" ht="10.5">
      <c r="A82" s="30">
        <v>73</v>
      </c>
      <c r="B82" s="39" t="s">
        <v>109</v>
      </c>
      <c r="C82" s="34" t="s">
        <v>244</v>
      </c>
      <c r="D82" s="37">
        <v>0</v>
      </c>
      <c r="F82" s="24">
        <f>ROUND((F28+F36+F41+F48+F54+F59+F66+F70+F75),2)</f>
        <v>111.17</v>
      </c>
      <c r="G82" s="24"/>
      <c r="H82" s="24"/>
      <c r="I82" s="24"/>
      <c r="J82" s="40"/>
      <c r="K82" s="40"/>
      <c r="L82" s="24"/>
    </row>
    <row r="83" spans="1:12" ht="10.5">
      <c r="A83" s="30">
        <v>74</v>
      </c>
      <c r="B83" s="39" t="s">
        <v>138</v>
      </c>
      <c r="C83" s="34" t="s">
        <v>245</v>
      </c>
      <c r="D83" s="37">
        <v>3.74</v>
      </c>
      <c r="F83" s="24">
        <f>ROUND((F79)*D83,2)</f>
        <v>30177.05</v>
      </c>
      <c r="G83" s="24"/>
      <c r="H83" s="24"/>
      <c r="I83" s="24"/>
      <c r="J83" s="40"/>
      <c r="K83" s="40"/>
      <c r="L83" s="24"/>
    </row>
    <row r="84" spans="1:12" ht="10.5">
      <c r="A84" s="30">
        <v>75</v>
      </c>
      <c r="B84" s="39" t="s">
        <v>111</v>
      </c>
      <c r="C84" s="34" t="s">
        <v>246</v>
      </c>
      <c r="D84" s="37">
        <v>18</v>
      </c>
      <c r="F84" s="24">
        <f>ROUND((F83)*D84/100,2)</f>
        <v>5431.87</v>
      </c>
      <c r="G84" s="24"/>
      <c r="H84" s="24"/>
      <c r="I84" s="24"/>
      <c r="J84" s="40"/>
      <c r="K84" s="40"/>
      <c r="L84" s="24"/>
    </row>
    <row r="85" spans="1:12" ht="10.5">
      <c r="A85" s="30">
        <v>76</v>
      </c>
      <c r="B85" s="39" t="s">
        <v>112</v>
      </c>
      <c r="C85" s="34" t="s">
        <v>247</v>
      </c>
      <c r="D85" s="37">
        <v>0</v>
      </c>
      <c r="F85" s="24">
        <f>ROUND((F83+F84),2)</f>
        <v>35608.92</v>
      </c>
      <c r="G85" s="24"/>
      <c r="H85" s="24"/>
      <c r="I85" s="24"/>
      <c r="J85" s="40"/>
      <c r="K85" s="40"/>
      <c r="L85" s="24"/>
    </row>
    <row r="86" spans="1:12" ht="10.5">
      <c r="A86" s="30">
        <v>77</v>
      </c>
      <c r="B86" s="39" t="s">
        <v>113</v>
      </c>
      <c r="C86" s="34" t="s">
        <v>248</v>
      </c>
      <c r="D86" s="37">
        <v>0</v>
      </c>
      <c r="F86" s="24"/>
      <c r="G86" s="24"/>
      <c r="H86" s="24"/>
      <c r="I86" s="24"/>
      <c r="J86" s="40"/>
      <c r="K86" s="40"/>
      <c r="L86" s="24">
        <f>ROUND(SUM('Базовые цены с учетом расхода'!X9:X15),2)</f>
        <v>0</v>
      </c>
    </row>
    <row r="87" spans="1:12" ht="10.5">
      <c r="A87" s="30">
        <v>78</v>
      </c>
      <c r="B87" s="39" t="s">
        <v>114</v>
      </c>
      <c r="C87" s="34" t="s">
        <v>248</v>
      </c>
      <c r="D87" s="37">
        <v>0</v>
      </c>
      <c r="F87" s="24">
        <f>ROUND(SUM('Базовые цены с учетом расхода'!C9:C15),2)</f>
        <v>63.81</v>
      </c>
      <c r="G87" s="24"/>
      <c r="H87" s="24"/>
      <c r="I87" s="24"/>
      <c r="J87" s="40"/>
      <c r="K87" s="40"/>
      <c r="L87" s="24"/>
    </row>
    <row r="88" spans="1:12" ht="10.5">
      <c r="A88" s="30">
        <v>79</v>
      </c>
      <c r="B88" s="39" t="s">
        <v>115</v>
      </c>
      <c r="C88" s="34" t="s">
        <v>248</v>
      </c>
      <c r="D88" s="37">
        <v>0</v>
      </c>
      <c r="F88" s="24">
        <f>ROUND(SUM('Базовые цены с учетом расхода'!E9:E15),2)</f>
        <v>76.34</v>
      </c>
      <c r="G88" s="24"/>
      <c r="H88" s="24"/>
      <c r="I88" s="24"/>
      <c r="J88" s="40"/>
      <c r="K88" s="40"/>
      <c r="L88" s="24"/>
    </row>
    <row r="89" spans="1:12" ht="10.5">
      <c r="A89" s="30">
        <v>80</v>
      </c>
      <c r="B89" s="39" t="s">
        <v>116</v>
      </c>
      <c r="C89" s="34" t="s">
        <v>247</v>
      </c>
      <c r="D89" s="37">
        <v>0</v>
      </c>
      <c r="F89" s="24">
        <f>ROUND((F87+F88),2)</f>
        <v>140.15</v>
      </c>
      <c r="G89" s="24"/>
      <c r="H89" s="24"/>
      <c r="I89" s="24"/>
      <c r="J89" s="40"/>
      <c r="K89" s="40"/>
      <c r="L89" s="24"/>
    </row>
    <row r="90" spans="1:12" ht="10.5">
      <c r="A90" s="30">
        <v>81</v>
      </c>
      <c r="B90" s="39" t="s">
        <v>117</v>
      </c>
      <c r="C90" s="34" t="s">
        <v>248</v>
      </c>
      <c r="D90" s="37">
        <v>0</v>
      </c>
      <c r="F90" s="24"/>
      <c r="G90" s="24"/>
      <c r="H90" s="24"/>
      <c r="I90" s="24"/>
      <c r="J90" s="40">
        <f>ROUND(SUM('Базовые цены с учетом расхода'!I9:I15),8)</f>
        <v>5.7555195</v>
      </c>
      <c r="K90" s="40"/>
      <c r="L90" s="24"/>
    </row>
    <row r="91" spans="1:12" ht="10.5">
      <c r="A91" s="30">
        <v>82</v>
      </c>
      <c r="B91" s="39" t="s">
        <v>118</v>
      </c>
      <c r="C91" s="34" t="s">
        <v>248</v>
      </c>
      <c r="D91" s="37">
        <v>0</v>
      </c>
      <c r="F91" s="24"/>
      <c r="G91" s="24"/>
      <c r="H91" s="24"/>
      <c r="I91" s="24"/>
      <c r="J91" s="40">
        <f>ROUND(SUM('Базовые цены с учетом расхода'!K9:K15),8)</f>
        <v>4.917401</v>
      </c>
      <c r="K91" s="40"/>
      <c r="L91" s="24"/>
    </row>
    <row r="92" spans="1:12" ht="10.5">
      <c r="A92" s="30">
        <v>83</v>
      </c>
      <c r="B92" s="39" t="s">
        <v>119</v>
      </c>
      <c r="C92" s="34" t="s">
        <v>247</v>
      </c>
      <c r="D92" s="37">
        <v>0</v>
      </c>
      <c r="F92" s="24"/>
      <c r="G92" s="24"/>
      <c r="H92" s="24"/>
      <c r="I92" s="24"/>
      <c r="J92" s="40">
        <f>ROUND((J90+J91),8)</f>
        <v>10.6729205</v>
      </c>
      <c r="K92" s="40"/>
      <c r="L92" s="24"/>
    </row>
    <row r="93" ht="10.5">
      <c r="A93" s="30"/>
    </row>
    <row r="94" spans="1:14" ht="10.5">
      <c r="A94" s="30"/>
      <c r="B94" s="51" t="s">
        <v>120</v>
      </c>
      <c r="C94" s="51"/>
      <c r="D94" s="51"/>
      <c r="E94" s="51"/>
      <c r="F94" s="51"/>
      <c r="G94" s="51"/>
      <c r="H94" s="51"/>
      <c r="I94" s="51"/>
      <c r="J94" s="51"/>
      <c r="N94" s="37"/>
    </row>
    <row r="95" spans="1:10" ht="10.5">
      <c r="A95" s="30"/>
      <c r="B95" s="51"/>
      <c r="C95" s="51"/>
      <c r="D95" s="51"/>
      <c r="E95" s="51"/>
      <c r="F95" s="51"/>
      <c r="G95" s="51"/>
      <c r="H95" s="51"/>
      <c r="I95" s="51"/>
      <c r="J95" s="51"/>
    </row>
    <row r="96" spans="1:14" s="27" customFormat="1" ht="10.5">
      <c r="A96" s="28"/>
      <c r="B96" s="29" t="s">
        <v>230</v>
      </c>
      <c r="C96" s="29" t="s">
        <v>231</v>
      </c>
      <c r="D96" s="38" t="s">
        <v>232</v>
      </c>
      <c r="E96" s="29" t="s">
        <v>233</v>
      </c>
      <c r="F96" s="29" t="s">
        <v>234</v>
      </c>
      <c r="G96" s="29" t="s">
        <v>235</v>
      </c>
      <c r="H96" s="29" t="s">
        <v>236</v>
      </c>
      <c r="I96" s="29" t="s">
        <v>237</v>
      </c>
      <c r="J96" s="29" t="s">
        <v>238</v>
      </c>
      <c r="K96" s="29" t="s">
        <v>239</v>
      </c>
      <c r="L96" s="29" t="s">
        <v>240</v>
      </c>
      <c r="M96" s="29" t="s">
        <v>241</v>
      </c>
      <c r="N96" s="29"/>
    </row>
    <row r="97" spans="1:14" ht="10.5">
      <c r="A97" s="30">
        <v>1</v>
      </c>
      <c r="B97" s="39" t="s">
        <v>134</v>
      </c>
      <c r="C97" s="34" t="s">
        <v>242</v>
      </c>
      <c r="D97" s="37">
        <v>0</v>
      </c>
      <c r="E97" s="37"/>
      <c r="F97" s="24">
        <f>ROUND(SUM('Базовые цены с учетом расхода'!B19:B22),2)</f>
        <v>10090.2</v>
      </c>
      <c r="G97" s="24">
        <f>ROUND(SUM('Базовые цены с учетом расхода'!C19:C22),2)</f>
        <v>1112.72</v>
      </c>
      <c r="H97" s="24">
        <f>ROUND(SUM('Базовые цены с учетом расхода'!D19:D22),2)</f>
        <v>4320.42</v>
      </c>
      <c r="I97" s="24">
        <f>ROUND(SUM('Базовые цены с учетом расхода'!E19:E22),2)</f>
        <v>1838.16</v>
      </c>
      <c r="J97" s="40">
        <f>ROUND(SUM('Базовые цены с учетом расхода'!I19:I22),8)</f>
        <v>104.98465</v>
      </c>
      <c r="K97" s="40">
        <f>ROUND(SUM('Базовые цены с учетом расхода'!K19:K22),8)</f>
        <v>136.01913</v>
      </c>
      <c r="L97" s="24">
        <f>ROUND(SUM('Базовые цены с учетом расхода'!F19:F22),2)</f>
        <v>4657.06</v>
      </c>
      <c r="N97" s="37"/>
    </row>
    <row r="98" spans="1:12" ht="10.5">
      <c r="A98" s="30">
        <v>2</v>
      </c>
      <c r="B98" s="39" t="s">
        <v>64</v>
      </c>
      <c r="C98" s="34" t="s">
        <v>243</v>
      </c>
      <c r="D98" s="37">
        <v>0</v>
      </c>
      <c r="F98" s="24">
        <f>ROUND(SUMIF(Определители!I19:I22,"= ",'Базовые цены с учетом расхода'!B19:B22),2)</f>
        <v>0</v>
      </c>
      <c r="G98" s="24">
        <f>ROUND(SUMIF(Определители!I19:I22,"= ",'Базовые цены с учетом расхода'!C19:C22),2)</f>
        <v>0</v>
      </c>
      <c r="H98" s="24">
        <f>ROUND(SUMIF(Определители!I19:I22,"= ",'Базовые цены с учетом расхода'!D19:D22),2)</f>
        <v>0</v>
      </c>
      <c r="I98" s="24">
        <f>ROUND(SUMIF(Определители!I19:I22,"= ",'Базовые цены с учетом расхода'!E19:E22),2)</f>
        <v>0</v>
      </c>
      <c r="J98" s="40">
        <f>ROUND(SUMIF(Определители!I19:I22,"= ",'Базовые цены с учетом расхода'!I19:I22),8)</f>
        <v>0</v>
      </c>
      <c r="K98" s="40">
        <f>ROUND(SUMIF(Определители!I19:I22,"= ",'Базовые цены с учетом расхода'!K19:K22),8)</f>
        <v>0</v>
      </c>
      <c r="L98" s="24">
        <f>ROUND(SUMIF(Определители!I19:I22,"= ",'Базовые цены с учетом расхода'!F19:F22),2)</f>
        <v>0</v>
      </c>
    </row>
    <row r="99" spans="1:12" ht="10.5">
      <c r="A99" s="30">
        <v>3</v>
      </c>
      <c r="B99" s="39" t="s">
        <v>65</v>
      </c>
      <c r="C99" s="34" t="s">
        <v>243</v>
      </c>
      <c r="D99" s="37">
        <v>0</v>
      </c>
      <c r="F99" s="24">
        <f>ROUND(СУММПРОИЗВЕСЛИ(0.01,Определители!I19:I22," ",'Базовые цены с учетом расхода'!B19:B22,Начисления!X19:X22,0),2)</f>
        <v>0</v>
      </c>
      <c r="G99" s="24"/>
      <c r="H99" s="24"/>
      <c r="I99" s="24"/>
      <c r="J99" s="40"/>
      <c r="K99" s="40"/>
      <c r="L99" s="24"/>
    </row>
    <row r="100" spans="1:12" ht="10.5">
      <c r="A100" s="30">
        <v>4</v>
      </c>
      <c r="B100" s="39" t="s">
        <v>66</v>
      </c>
      <c r="C100" s="34" t="s">
        <v>243</v>
      </c>
      <c r="D100" s="37">
        <v>0</v>
      </c>
      <c r="F100" s="24">
        <f>ROUND(СУММПРОИЗВЕСЛИ(0.01,Определители!I19:I22," ",'Базовые цены с учетом расхода'!B19:B22,Начисления!Y19:Y22,0),2)</f>
        <v>0</v>
      </c>
      <c r="G100" s="24"/>
      <c r="H100" s="24"/>
      <c r="I100" s="24"/>
      <c r="J100" s="40"/>
      <c r="K100" s="40"/>
      <c r="L100" s="24"/>
    </row>
    <row r="101" spans="1:12" ht="10.5">
      <c r="A101" s="30">
        <v>5</v>
      </c>
      <c r="B101" s="39" t="s">
        <v>67</v>
      </c>
      <c r="C101" s="34" t="s">
        <v>243</v>
      </c>
      <c r="D101" s="37">
        <v>0</v>
      </c>
      <c r="F101" s="24">
        <f>ROUND(ТРАНСПРАСХОД(Определители!B19:B22,Определители!H19:H22,Определители!I19:I22,'Базовые цены с учетом расхода'!B19:B22,Начисления!Z19:Z22,Начисления!AA19:AA22),2)</f>
        <v>0</v>
      </c>
      <c r="G101" s="24"/>
      <c r="H101" s="24"/>
      <c r="I101" s="24"/>
      <c r="J101" s="40"/>
      <c r="K101" s="40"/>
      <c r="L101" s="24"/>
    </row>
    <row r="102" spans="1:12" ht="10.5">
      <c r="A102" s="30">
        <v>6</v>
      </c>
      <c r="B102" s="39" t="s">
        <v>68</v>
      </c>
      <c r="C102" s="34" t="s">
        <v>243</v>
      </c>
      <c r="D102" s="37">
        <v>0</v>
      </c>
      <c r="F102" s="24">
        <f>ROUND(СУММПРОИЗВЕСЛИ(0.01,Определители!I19:I22," ",'Базовые цены с учетом расхода'!B19:B22,Начисления!AC19:AC22,0),2)</f>
        <v>0</v>
      </c>
      <c r="G102" s="24"/>
      <c r="H102" s="24"/>
      <c r="I102" s="24"/>
      <c r="J102" s="40"/>
      <c r="K102" s="40"/>
      <c r="L102" s="24"/>
    </row>
    <row r="103" spans="1:12" ht="10.5">
      <c r="A103" s="30">
        <v>7</v>
      </c>
      <c r="B103" s="39" t="s">
        <v>69</v>
      </c>
      <c r="C103" s="34" t="s">
        <v>243</v>
      </c>
      <c r="D103" s="37">
        <v>0</v>
      </c>
      <c r="F103" s="24">
        <f>ROUND(СУММПРОИЗВЕСЛИ(0.01,Определители!I19:I22," ",'Базовые цены с учетом расхода'!B19:B22,Начисления!AF19:AF22,0),2)</f>
        <v>0</v>
      </c>
      <c r="G103" s="24"/>
      <c r="H103" s="24"/>
      <c r="I103" s="24"/>
      <c r="J103" s="40"/>
      <c r="K103" s="40"/>
      <c r="L103" s="24"/>
    </row>
    <row r="104" spans="1:12" ht="10.5">
      <c r="A104" s="30">
        <v>8</v>
      </c>
      <c r="B104" s="39" t="s">
        <v>70</v>
      </c>
      <c r="C104" s="34" t="s">
        <v>243</v>
      </c>
      <c r="D104" s="37">
        <v>0</v>
      </c>
      <c r="F104" s="24">
        <f>ROUND(ЗАГОТСКЛАДРАСХОД(Определители!B19:B22,Определители!H19:H22,Определители!I19:I22,'Базовые цены с учетом расхода'!B19:B22,Начисления!X19:X22,Начисления!Y19:Y22,Начисления!Z19:Z22,Начисления!AA19:AA22,Начисления!AB19:AB22,Начисления!AC19:AC22,Начисления!AF19:AF22),2)</f>
        <v>0</v>
      </c>
      <c r="G104" s="24"/>
      <c r="H104" s="24"/>
      <c r="I104" s="24"/>
      <c r="J104" s="40"/>
      <c r="K104" s="40"/>
      <c r="L104" s="24"/>
    </row>
    <row r="105" spans="1:12" ht="10.5">
      <c r="A105" s="30">
        <v>9</v>
      </c>
      <c r="B105" s="39" t="s">
        <v>71</v>
      </c>
      <c r="C105" s="34" t="s">
        <v>243</v>
      </c>
      <c r="D105" s="37">
        <v>0</v>
      </c>
      <c r="F105" s="24">
        <f>ROUND(СУММПРОИЗВЕСЛИ(1,Определители!I19:I22," ",'Базовые цены с учетом расхода'!M19:M22,Начисления!I19:I22,0),2)</f>
        <v>0</v>
      </c>
      <c r="G105" s="24"/>
      <c r="H105" s="24"/>
      <c r="I105" s="24"/>
      <c r="J105" s="40"/>
      <c r="K105" s="40"/>
      <c r="L105" s="24"/>
    </row>
    <row r="106" spans="1:12" ht="10.5">
      <c r="A106" s="30">
        <v>10</v>
      </c>
      <c r="B106" s="39" t="s">
        <v>72</v>
      </c>
      <c r="C106" s="34" t="s">
        <v>244</v>
      </c>
      <c r="D106" s="37">
        <v>0</v>
      </c>
      <c r="F106" s="24">
        <f>ROUND((F105+F116+F136),2)</f>
        <v>0</v>
      </c>
      <c r="G106" s="24"/>
      <c r="H106" s="24"/>
      <c r="I106" s="24"/>
      <c r="J106" s="40"/>
      <c r="K106" s="40"/>
      <c r="L106" s="24"/>
    </row>
    <row r="107" spans="1:12" ht="10.5">
      <c r="A107" s="30">
        <v>11</v>
      </c>
      <c r="B107" s="39" t="s">
        <v>73</v>
      </c>
      <c r="C107" s="34" t="s">
        <v>244</v>
      </c>
      <c r="D107" s="37">
        <v>0</v>
      </c>
      <c r="F107" s="24">
        <f>ROUND((F98+F99+F100+F101+F102+F103+F104+F106),2)</f>
        <v>0</v>
      </c>
      <c r="G107" s="24"/>
      <c r="H107" s="24"/>
      <c r="I107" s="24"/>
      <c r="J107" s="40"/>
      <c r="K107" s="40"/>
      <c r="L107" s="24"/>
    </row>
    <row r="108" spans="1:12" ht="10.5">
      <c r="A108" s="30">
        <v>12</v>
      </c>
      <c r="B108" s="39" t="s">
        <v>74</v>
      </c>
      <c r="C108" s="34" t="s">
        <v>243</v>
      </c>
      <c r="D108" s="37">
        <v>0</v>
      </c>
      <c r="F108" s="24">
        <f>ROUND(SUMIF(Определители!I19:I22,"=1",'Базовые цены с учетом расхода'!B19:B22),2)</f>
        <v>0</v>
      </c>
      <c r="G108" s="24">
        <f>ROUND(SUMIF(Определители!I19:I22,"=1",'Базовые цены с учетом расхода'!C19:C22),2)</f>
        <v>0</v>
      </c>
      <c r="H108" s="24">
        <f>ROUND(SUMIF(Определители!I19:I22,"=1",'Базовые цены с учетом расхода'!D19:D22),2)</f>
        <v>0</v>
      </c>
      <c r="I108" s="24">
        <f>ROUND(SUMIF(Определители!I19:I22,"=1",'Базовые цены с учетом расхода'!E19:E22),2)</f>
        <v>0</v>
      </c>
      <c r="J108" s="40">
        <f>ROUND(SUMIF(Определители!I19:I22,"=1",'Базовые цены с учетом расхода'!I19:I22),8)</f>
        <v>0</v>
      </c>
      <c r="K108" s="40">
        <f>ROUND(SUMIF(Определители!I19:I22,"=1",'Базовые цены с учетом расхода'!K19:K22),8)</f>
        <v>0</v>
      </c>
      <c r="L108" s="24">
        <f>ROUND(SUMIF(Определители!I19:I22,"=1",'Базовые цены с учетом расхода'!F19:F22),2)</f>
        <v>0</v>
      </c>
    </row>
    <row r="109" spans="1:12" ht="10.5">
      <c r="A109" s="30">
        <v>13</v>
      </c>
      <c r="B109" s="39" t="s">
        <v>75</v>
      </c>
      <c r="C109" s="34" t="s">
        <v>243</v>
      </c>
      <c r="D109" s="37">
        <v>0</v>
      </c>
      <c r="F109" s="24"/>
      <c r="G109" s="24"/>
      <c r="H109" s="24"/>
      <c r="I109" s="24"/>
      <c r="J109" s="40"/>
      <c r="K109" s="40"/>
      <c r="L109" s="24"/>
    </row>
    <row r="110" spans="1:12" ht="10.5">
      <c r="A110" s="30">
        <v>14</v>
      </c>
      <c r="B110" s="39" t="s">
        <v>76</v>
      </c>
      <c r="C110" s="34" t="s">
        <v>243</v>
      </c>
      <c r="D110" s="37">
        <v>0</v>
      </c>
      <c r="F110" s="24"/>
      <c r="G110" s="24">
        <f>ROUND(SUMIF(Определители!I19:I22,"=1",'Базовые цены с учетом расхода'!U19:U22),2)</f>
        <v>0</v>
      </c>
      <c r="H110" s="24"/>
      <c r="I110" s="24"/>
      <c r="J110" s="40"/>
      <c r="K110" s="40"/>
      <c r="L110" s="24"/>
    </row>
    <row r="111" spans="1:12" ht="10.5">
      <c r="A111" s="30">
        <v>15</v>
      </c>
      <c r="B111" s="39" t="s">
        <v>77</v>
      </c>
      <c r="C111" s="34" t="s">
        <v>243</v>
      </c>
      <c r="D111" s="37">
        <v>0</v>
      </c>
      <c r="F111" s="24">
        <f>ROUND(SUMIF(Определители!I19:I22,"=1",'Базовые цены с учетом расхода'!V19:V22),2)</f>
        <v>0</v>
      </c>
      <c r="G111" s="24"/>
      <c r="H111" s="24"/>
      <c r="I111" s="24"/>
      <c r="J111" s="40"/>
      <c r="K111" s="40"/>
      <c r="L111" s="24"/>
    </row>
    <row r="112" spans="1:12" ht="10.5">
      <c r="A112" s="30">
        <v>16</v>
      </c>
      <c r="B112" s="39" t="s">
        <v>78</v>
      </c>
      <c r="C112" s="34" t="s">
        <v>243</v>
      </c>
      <c r="D112" s="37">
        <v>0</v>
      </c>
      <c r="F112" s="24">
        <f>ROUND(СУММЕСЛИ2(Определители!I19:I22,"1",Определители!G6:G22,"1",'Базовые цены с учетом расхода'!B19:B22),2)</f>
        <v>0</v>
      </c>
      <c r="G112" s="24"/>
      <c r="H112" s="24"/>
      <c r="I112" s="24"/>
      <c r="J112" s="40"/>
      <c r="K112" s="40"/>
      <c r="L112" s="24"/>
    </row>
    <row r="113" spans="1:12" ht="10.5">
      <c r="A113" s="30">
        <v>17</v>
      </c>
      <c r="B113" s="39" t="s">
        <v>79</v>
      </c>
      <c r="C113" s="34" t="s">
        <v>243</v>
      </c>
      <c r="D113" s="37">
        <v>0</v>
      </c>
      <c r="F113" s="24">
        <f>ROUND(SUMIF(Определители!I19:I22,"=1",'Базовые цены с учетом расхода'!H19:H22),2)</f>
        <v>0</v>
      </c>
      <c r="G113" s="24"/>
      <c r="H113" s="24"/>
      <c r="I113" s="24"/>
      <c r="J113" s="40"/>
      <c r="K113" s="40"/>
      <c r="L113" s="24"/>
    </row>
    <row r="114" spans="1:12" ht="10.5">
      <c r="A114" s="30">
        <v>18</v>
      </c>
      <c r="B114" s="39" t="s">
        <v>80</v>
      </c>
      <c r="C114" s="34" t="s">
        <v>243</v>
      </c>
      <c r="D114" s="37">
        <v>0</v>
      </c>
      <c r="F114" s="24">
        <f>ROUND(SUMIF(Определители!I19:I22,"=1",'Базовые цены с учетом расхода'!N19:N22),2)</f>
        <v>0</v>
      </c>
      <c r="G114" s="24"/>
      <c r="H114" s="24"/>
      <c r="I114" s="24"/>
      <c r="J114" s="40"/>
      <c r="K114" s="40"/>
      <c r="L114" s="24"/>
    </row>
    <row r="115" spans="1:12" ht="10.5">
      <c r="A115" s="30">
        <v>19</v>
      </c>
      <c r="B115" s="39" t="s">
        <v>81</v>
      </c>
      <c r="C115" s="34" t="s">
        <v>243</v>
      </c>
      <c r="D115" s="37">
        <v>0</v>
      </c>
      <c r="F115" s="24">
        <f>ROUND(SUMIF(Определители!I19:I22,"=1",'Базовые цены с учетом расхода'!O19:O22),2)</f>
        <v>0</v>
      </c>
      <c r="G115" s="24"/>
      <c r="H115" s="24"/>
      <c r="I115" s="24"/>
      <c r="J115" s="40"/>
      <c r="K115" s="40"/>
      <c r="L115" s="24"/>
    </row>
    <row r="116" spans="1:12" ht="10.5">
      <c r="A116" s="30">
        <v>20</v>
      </c>
      <c r="B116" s="39" t="s">
        <v>72</v>
      </c>
      <c r="C116" s="34" t="s">
        <v>243</v>
      </c>
      <c r="D116" s="37">
        <v>0</v>
      </c>
      <c r="F116" s="24">
        <f>ROUND(СУММПРОИЗВЕСЛИ(1,Определители!I19:I22," ",'Базовые цены с учетом расхода'!M19:M22,Начисления!I19:I22,0),2)</f>
        <v>0</v>
      </c>
      <c r="G116" s="24"/>
      <c r="H116" s="24"/>
      <c r="I116" s="24"/>
      <c r="J116" s="40"/>
      <c r="K116" s="40"/>
      <c r="L116" s="24"/>
    </row>
    <row r="117" spans="1:12" ht="10.5">
      <c r="A117" s="30">
        <v>21</v>
      </c>
      <c r="B117" s="39" t="s">
        <v>82</v>
      </c>
      <c r="C117" s="34" t="s">
        <v>244</v>
      </c>
      <c r="D117" s="37">
        <v>0</v>
      </c>
      <c r="F117" s="24">
        <f>ROUND((F108+F114+F115),2)</f>
        <v>0</v>
      </c>
      <c r="G117" s="24"/>
      <c r="H117" s="24"/>
      <c r="I117" s="24"/>
      <c r="J117" s="40"/>
      <c r="K117" s="40"/>
      <c r="L117" s="24"/>
    </row>
    <row r="118" spans="1:12" ht="10.5">
      <c r="A118" s="30">
        <v>22</v>
      </c>
      <c r="B118" s="39" t="s">
        <v>83</v>
      </c>
      <c r="C118" s="34" t="s">
        <v>243</v>
      </c>
      <c r="D118" s="37">
        <v>0</v>
      </c>
      <c r="F118" s="24">
        <f>ROUND(SUMIF(Определители!I19:I22,"=2",'Базовые цены с учетом расхода'!B19:B22),2)</f>
        <v>10090.2</v>
      </c>
      <c r="G118" s="24">
        <f>ROUND(SUMIF(Определители!I19:I22,"=2",'Базовые цены с учетом расхода'!C19:C22),2)</f>
        <v>1112.72</v>
      </c>
      <c r="H118" s="24">
        <f>ROUND(SUMIF(Определители!I19:I22,"=2",'Базовые цены с учетом расхода'!D19:D22),2)</f>
        <v>4320.42</v>
      </c>
      <c r="I118" s="24">
        <f>ROUND(SUMIF(Определители!I19:I22,"=2",'Базовые цены с учетом расхода'!E19:E22),2)</f>
        <v>1838.16</v>
      </c>
      <c r="J118" s="40">
        <f>ROUND(SUMIF(Определители!I19:I22,"=2",'Базовые цены с учетом расхода'!I19:I22),8)</f>
        <v>104.98465</v>
      </c>
      <c r="K118" s="40">
        <f>ROUND(SUMIF(Определители!I19:I22,"=2",'Базовые цены с учетом расхода'!K19:K22),8)</f>
        <v>136.01913</v>
      </c>
      <c r="L118" s="24">
        <f>ROUND(SUMIF(Определители!I19:I22,"=2",'Базовые цены с учетом расхода'!F19:F22),2)</f>
        <v>4657.06</v>
      </c>
    </row>
    <row r="119" spans="1:12" ht="10.5">
      <c r="A119" s="30">
        <v>23</v>
      </c>
      <c r="B119" s="39" t="s">
        <v>75</v>
      </c>
      <c r="C119" s="34" t="s">
        <v>243</v>
      </c>
      <c r="D119" s="37">
        <v>0</v>
      </c>
      <c r="F119" s="24"/>
      <c r="G119" s="24"/>
      <c r="H119" s="24"/>
      <c r="I119" s="24"/>
      <c r="J119" s="40"/>
      <c r="K119" s="40"/>
      <c r="L119" s="24"/>
    </row>
    <row r="120" spans="1:12" ht="10.5">
      <c r="A120" s="30">
        <v>24</v>
      </c>
      <c r="B120" s="39" t="s">
        <v>84</v>
      </c>
      <c r="C120" s="34" t="s">
        <v>243</v>
      </c>
      <c r="D120" s="37">
        <v>0</v>
      </c>
      <c r="F120" s="24">
        <f>ROUND(SUMIF(Определители!G19:G22,"=1",'Базовые цены с учетом расхода'!F19:F22),2)</f>
        <v>0</v>
      </c>
      <c r="G120" s="24"/>
      <c r="H120" s="24"/>
      <c r="I120" s="24"/>
      <c r="J120" s="40"/>
      <c r="K120" s="40"/>
      <c r="L120" s="24"/>
    </row>
    <row r="121" spans="1:12" ht="10.5">
      <c r="A121" s="30">
        <v>25</v>
      </c>
      <c r="B121" s="39" t="s">
        <v>79</v>
      </c>
      <c r="C121" s="34" t="s">
        <v>243</v>
      </c>
      <c r="D121" s="37">
        <v>0</v>
      </c>
      <c r="F121" s="24">
        <f>ROUND(SUMIF(Определители!I19:I22,"=2",'Базовые цены с учетом расхода'!H19:H22),2)</f>
        <v>0</v>
      </c>
      <c r="G121" s="24"/>
      <c r="H121" s="24"/>
      <c r="I121" s="24"/>
      <c r="J121" s="40"/>
      <c r="K121" s="40"/>
      <c r="L121" s="24"/>
    </row>
    <row r="122" spans="1:12" ht="10.5">
      <c r="A122" s="30">
        <v>26</v>
      </c>
      <c r="B122" s="39" t="s">
        <v>80</v>
      </c>
      <c r="C122" s="34" t="s">
        <v>243</v>
      </c>
      <c r="D122" s="37">
        <v>0</v>
      </c>
      <c r="F122" s="24">
        <f>ROUND(SUMIF(Определители!I19:I22,"=2",'Базовые цены с учетом расхода'!N19:N22),2)</f>
        <v>2573.67</v>
      </c>
      <c r="G122" s="24"/>
      <c r="H122" s="24"/>
      <c r="I122" s="24"/>
      <c r="J122" s="40"/>
      <c r="K122" s="40"/>
      <c r="L122" s="24"/>
    </row>
    <row r="123" spans="1:12" ht="10.5">
      <c r="A123" s="30">
        <v>27</v>
      </c>
      <c r="B123" s="39" t="s">
        <v>81</v>
      </c>
      <c r="C123" s="34" t="s">
        <v>243</v>
      </c>
      <c r="D123" s="37">
        <v>0</v>
      </c>
      <c r="F123" s="24">
        <f>ROUND(SUMIF(Определители!I19:I22,"=2",'Базовые цены с учетом расхода'!O19:O22),2)</f>
        <v>1411</v>
      </c>
      <c r="G123" s="24"/>
      <c r="H123" s="24"/>
      <c r="I123" s="24"/>
      <c r="J123" s="40"/>
      <c r="K123" s="40"/>
      <c r="L123" s="24"/>
    </row>
    <row r="124" spans="1:12" ht="10.5">
      <c r="A124" s="30">
        <v>28</v>
      </c>
      <c r="B124" s="39" t="s">
        <v>87</v>
      </c>
      <c r="C124" s="34" t="s">
        <v>244</v>
      </c>
      <c r="D124" s="37">
        <v>0</v>
      </c>
      <c r="F124" s="24">
        <f>ROUND((F118+F122+F123),2)</f>
        <v>14074.87</v>
      </c>
      <c r="G124" s="24"/>
      <c r="H124" s="24"/>
      <c r="I124" s="24"/>
      <c r="J124" s="40"/>
      <c r="K124" s="40"/>
      <c r="L124" s="24"/>
    </row>
    <row r="125" spans="1:12" ht="10.5">
      <c r="A125" s="30">
        <v>29</v>
      </c>
      <c r="B125" s="39" t="s">
        <v>88</v>
      </c>
      <c r="C125" s="34" t="s">
        <v>243</v>
      </c>
      <c r="D125" s="37">
        <v>0</v>
      </c>
      <c r="F125" s="24">
        <f>ROUND(SUMIF(Определители!I19:I22,"=3",'Базовые цены с учетом расхода'!B19:B22),2)</f>
        <v>0</v>
      </c>
      <c r="G125" s="24">
        <f>ROUND(SUMIF(Определители!I19:I22,"=3",'Базовые цены с учетом расхода'!C19:C22),2)</f>
        <v>0</v>
      </c>
      <c r="H125" s="24">
        <f>ROUND(SUMIF(Определители!I19:I22,"=3",'Базовые цены с учетом расхода'!D19:D22),2)</f>
        <v>0</v>
      </c>
      <c r="I125" s="24">
        <f>ROUND(SUMIF(Определители!I19:I22,"=3",'Базовые цены с учетом расхода'!E19:E22),2)</f>
        <v>0</v>
      </c>
      <c r="J125" s="40">
        <f>ROUND(SUMIF(Определители!I19:I22,"=3",'Базовые цены с учетом расхода'!I19:I22),8)</f>
        <v>0</v>
      </c>
      <c r="K125" s="40">
        <f>ROUND(SUMIF(Определители!I19:I22,"=3",'Базовые цены с учетом расхода'!K19:K22),8)</f>
        <v>0</v>
      </c>
      <c r="L125" s="24">
        <f>ROUND(SUMIF(Определители!I19:I22,"=3",'Базовые цены с учетом расхода'!F19:F22),2)</f>
        <v>0</v>
      </c>
    </row>
    <row r="126" spans="1:12" ht="10.5">
      <c r="A126" s="30">
        <v>30</v>
      </c>
      <c r="B126" s="39" t="s">
        <v>79</v>
      </c>
      <c r="C126" s="34" t="s">
        <v>243</v>
      </c>
      <c r="D126" s="37">
        <v>0</v>
      </c>
      <c r="F126" s="24">
        <f>ROUND(SUMIF(Определители!I19:I22,"=3",'Базовые цены с учетом расхода'!H19:H22),2)</f>
        <v>0</v>
      </c>
      <c r="G126" s="24"/>
      <c r="H126" s="24"/>
      <c r="I126" s="24"/>
      <c r="J126" s="40"/>
      <c r="K126" s="40"/>
      <c r="L126" s="24"/>
    </row>
    <row r="127" spans="1:12" ht="10.5">
      <c r="A127" s="30">
        <v>31</v>
      </c>
      <c r="B127" s="39" t="s">
        <v>80</v>
      </c>
      <c r="C127" s="34" t="s">
        <v>243</v>
      </c>
      <c r="D127" s="37">
        <v>0</v>
      </c>
      <c r="F127" s="24">
        <f>ROUND(SUMIF(Определители!I19:I22,"=3",'Базовые цены с учетом расхода'!N19:N22),2)</f>
        <v>0</v>
      </c>
      <c r="G127" s="24"/>
      <c r="H127" s="24"/>
      <c r="I127" s="24"/>
      <c r="J127" s="40"/>
      <c r="K127" s="40"/>
      <c r="L127" s="24"/>
    </row>
    <row r="128" spans="1:12" ht="10.5">
      <c r="A128" s="30">
        <v>32</v>
      </c>
      <c r="B128" s="39" t="s">
        <v>81</v>
      </c>
      <c r="C128" s="34" t="s">
        <v>243</v>
      </c>
      <c r="D128" s="37">
        <v>0</v>
      </c>
      <c r="F128" s="24">
        <f>ROUND(SUMIF(Определители!I19:I22,"=3",'Базовые цены с учетом расхода'!O19:O22),2)</f>
        <v>0</v>
      </c>
      <c r="G128" s="24"/>
      <c r="H128" s="24"/>
      <c r="I128" s="24"/>
      <c r="J128" s="40"/>
      <c r="K128" s="40"/>
      <c r="L128" s="24"/>
    </row>
    <row r="129" spans="1:12" ht="10.5">
      <c r="A129" s="30">
        <v>33</v>
      </c>
      <c r="B129" s="39" t="s">
        <v>89</v>
      </c>
      <c r="C129" s="34" t="s">
        <v>244</v>
      </c>
      <c r="D129" s="37">
        <v>0</v>
      </c>
      <c r="F129" s="24">
        <f>ROUND((F125+F127+F128),2)</f>
        <v>0</v>
      </c>
      <c r="G129" s="24"/>
      <c r="H129" s="24"/>
      <c r="I129" s="24"/>
      <c r="J129" s="40"/>
      <c r="K129" s="40"/>
      <c r="L129" s="24"/>
    </row>
    <row r="130" spans="1:12" ht="10.5">
      <c r="A130" s="30">
        <v>34</v>
      </c>
      <c r="B130" s="39" t="s">
        <v>90</v>
      </c>
      <c r="C130" s="34" t="s">
        <v>243</v>
      </c>
      <c r="D130" s="37">
        <v>0</v>
      </c>
      <c r="F130" s="24">
        <f>ROUND(SUMIF(Определители!I19:I22,"=4",'Базовые цены с учетом расхода'!B19:B22),2)</f>
        <v>0</v>
      </c>
      <c r="G130" s="24">
        <f>ROUND(SUMIF(Определители!I19:I22,"=4",'Базовые цены с учетом расхода'!C19:C22),2)</f>
        <v>0</v>
      </c>
      <c r="H130" s="24">
        <f>ROUND(SUMIF(Определители!I19:I22,"=4",'Базовые цены с учетом расхода'!D19:D22),2)</f>
        <v>0</v>
      </c>
      <c r="I130" s="24">
        <f>ROUND(SUMIF(Определители!I19:I22,"=4",'Базовые цены с учетом расхода'!E19:E22),2)</f>
        <v>0</v>
      </c>
      <c r="J130" s="40">
        <f>ROUND(SUMIF(Определители!I19:I22,"=4",'Базовые цены с учетом расхода'!I19:I22),8)</f>
        <v>0</v>
      </c>
      <c r="K130" s="40">
        <f>ROUND(SUMIF(Определители!I19:I22,"=4",'Базовые цены с учетом расхода'!K19:K22),8)</f>
        <v>0</v>
      </c>
      <c r="L130" s="24">
        <f>ROUND(SUMIF(Определители!I19:I22,"=4",'Базовые цены с учетом расхода'!F19:F22),2)</f>
        <v>0</v>
      </c>
    </row>
    <row r="131" spans="1:12" ht="10.5">
      <c r="A131" s="30">
        <v>35</v>
      </c>
      <c r="B131" s="39" t="s">
        <v>75</v>
      </c>
      <c r="C131" s="34" t="s">
        <v>243</v>
      </c>
      <c r="D131" s="37">
        <v>0</v>
      </c>
      <c r="F131" s="24"/>
      <c r="G131" s="24"/>
      <c r="H131" s="24"/>
      <c r="I131" s="24"/>
      <c r="J131" s="40"/>
      <c r="K131" s="40"/>
      <c r="L131" s="24"/>
    </row>
    <row r="132" spans="1:12" ht="10.5">
      <c r="A132" s="30">
        <v>36</v>
      </c>
      <c r="B132" s="39" t="s">
        <v>91</v>
      </c>
      <c r="C132" s="34" t="s">
        <v>243</v>
      </c>
      <c r="D132" s="37">
        <v>0</v>
      </c>
      <c r="F132" s="24"/>
      <c r="G132" s="24"/>
      <c r="H132" s="24"/>
      <c r="I132" s="24"/>
      <c r="J132" s="40"/>
      <c r="K132" s="40"/>
      <c r="L132" s="24"/>
    </row>
    <row r="133" spans="1:12" ht="10.5">
      <c r="A133" s="30">
        <v>37</v>
      </c>
      <c r="B133" s="39" t="s">
        <v>79</v>
      </c>
      <c r="C133" s="34" t="s">
        <v>243</v>
      </c>
      <c r="D133" s="37">
        <v>0</v>
      </c>
      <c r="F133" s="24">
        <f>ROUND(SUMIF(Определители!I19:I22,"=4",'Базовые цены с учетом расхода'!H19:H22),2)</f>
        <v>0</v>
      </c>
      <c r="G133" s="24"/>
      <c r="H133" s="24"/>
      <c r="I133" s="24"/>
      <c r="J133" s="40"/>
      <c r="K133" s="40"/>
      <c r="L133" s="24"/>
    </row>
    <row r="134" spans="1:12" ht="10.5">
      <c r="A134" s="30">
        <v>38</v>
      </c>
      <c r="B134" s="39" t="s">
        <v>80</v>
      </c>
      <c r="C134" s="34" t="s">
        <v>243</v>
      </c>
      <c r="D134" s="37">
        <v>0</v>
      </c>
      <c r="F134" s="24">
        <f>ROUND(SUMIF(Определители!I19:I22,"=4",'Базовые цены с учетом расхода'!N19:N22),2)</f>
        <v>0</v>
      </c>
      <c r="G134" s="24"/>
      <c r="H134" s="24"/>
      <c r="I134" s="24"/>
      <c r="J134" s="40"/>
      <c r="K134" s="40"/>
      <c r="L134" s="24"/>
    </row>
    <row r="135" spans="1:12" ht="10.5">
      <c r="A135" s="30">
        <v>39</v>
      </c>
      <c r="B135" s="39" t="s">
        <v>81</v>
      </c>
      <c r="C135" s="34" t="s">
        <v>243</v>
      </c>
      <c r="D135" s="37">
        <v>0</v>
      </c>
      <c r="F135" s="24">
        <f>ROUND(SUMIF(Определители!I19:I22,"=4",'Базовые цены с учетом расхода'!O19:O22),2)</f>
        <v>0</v>
      </c>
      <c r="G135" s="24"/>
      <c r="H135" s="24"/>
      <c r="I135" s="24"/>
      <c r="J135" s="40"/>
      <c r="K135" s="40"/>
      <c r="L135" s="24"/>
    </row>
    <row r="136" spans="1:12" ht="10.5">
      <c r="A136" s="30">
        <v>40</v>
      </c>
      <c r="B136" s="39" t="s">
        <v>72</v>
      </c>
      <c r="C136" s="34" t="s">
        <v>243</v>
      </c>
      <c r="D136" s="37">
        <v>0</v>
      </c>
      <c r="F136" s="24">
        <f>ROUND(СУММПРОИЗВЕСЛИ(1,Определители!I19:I22," ",'Базовые цены с учетом расхода'!M19:M22,Начисления!I19:I22,0),2)</f>
        <v>0</v>
      </c>
      <c r="G136" s="24"/>
      <c r="H136" s="24"/>
      <c r="I136" s="24"/>
      <c r="J136" s="40"/>
      <c r="K136" s="40"/>
      <c r="L136" s="24"/>
    </row>
    <row r="137" spans="1:12" ht="10.5">
      <c r="A137" s="30">
        <v>41</v>
      </c>
      <c r="B137" s="39" t="s">
        <v>92</v>
      </c>
      <c r="C137" s="34" t="s">
        <v>244</v>
      </c>
      <c r="D137" s="37">
        <v>0</v>
      </c>
      <c r="F137" s="24">
        <f>ROUND((F130+F134+F135),2)</f>
        <v>0</v>
      </c>
      <c r="G137" s="24"/>
      <c r="H137" s="24"/>
      <c r="I137" s="24"/>
      <c r="J137" s="40"/>
      <c r="K137" s="40"/>
      <c r="L137" s="24"/>
    </row>
    <row r="138" spans="1:12" ht="10.5">
      <c r="A138" s="30">
        <v>42</v>
      </c>
      <c r="B138" s="39" t="s">
        <v>93</v>
      </c>
      <c r="C138" s="34" t="s">
        <v>243</v>
      </c>
      <c r="D138" s="37">
        <v>0</v>
      </c>
      <c r="F138" s="24">
        <f>ROUND(SUMIF(Определители!I19:I22,"=5",'Базовые цены с учетом расхода'!B19:B22),2)</f>
        <v>0</v>
      </c>
      <c r="G138" s="24">
        <f>ROUND(SUMIF(Определители!I19:I22,"=5",'Базовые цены с учетом расхода'!C19:C22),2)</f>
        <v>0</v>
      </c>
      <c r="H138" s="24">
        <f>ROUND(SUMIF(Определители!I19:I22,"=5",'Базовые цены с учетом расхода'!D19:D22),2)</f>
        <v>0</v>
      </c>
      <c r="I138" s="24">
        <f>ROUND(SUMIF(Определители!I19:I22,"=5",'Базовые цены с учетом расхода'!E19:E22),2)</f>
        <v>0</v>
      </c>
      <c r="J138" s="40">
        <f>ROUND(SUMIF(Определители!I19:I22,"=5",'Базовые цены с учетом расхода'!I19:I22),8)</f>
        <v>0</v>
      </c>
      <c r="K138" s="40">
        <f>ROUND(SUMIF(Определители!I19:I22,"=5",'Базовые цены с учетом расхода'!K19:K22),8)</f>
        <v>0</v>
      </c>
      <c r="L138" s="24">
        <f>ROUND(SUMIF(Определители!I19:I22,"=5",'Базовые цены с учетом расхода'!F19:F22),2)</f>
        <v>0</v>
      </c>
    </row>
    <row r="139" spans="1:12" ht="10.5">
      <c r="A139" s="30">
        <v>43</v>
      </c>
      <c r="B139" s="39" t="s">
        <v>79</v>
      </c>
      <c r="C139" s="34" t="s">
        <v>243</v>
      </c>
      <c r="D139" s="37">
        <v>0</v>
      </c>
      <c r="F139" s="24">
        <f>ROUND(SUMIF(Определители!I19:I22,"=5",'Базовые цены с учетом расхода'!H19:H22),2)</f>
        <v>0</v>
      </c>
      <c r="G139" s="24"/>
      <c r="H139" s="24"/>
      <c r="I139" s="24"/>
      <c r="J139" s="40"/>
      <c r="K139" s="40"/>
      <c r="L139" s="24"/>
    </row>
    <row r="140" spans="1:12" ht="10.5">
      <c r="A140" s="30">
        <v>44</v>
      </c>
      <c r="B140" s="39" t="s">
        <v>80</v>
      </c>
      <c r="C140" s="34" t="s">
        <v>243</v>
      </c>
      <c r="D140" s="37">
        <v>0</v>
      </c>
      <c r="F140" s="24">
        <f>ROUND(SUMIF(Определители!I19:I22,"=5",'Базовые цены с учетом расхода'!N19:N22),2)</f>
        <v>0</v>
      </c>
      <c r="G140" s="24"/>
      <c r="H140" s="24"/>
      <c r="I140" s="24"/>
      <c r="J140" s="40"/>
      <c r="K140" s="40"/>
      <c r="L140" s="24"/>
    </row>
    <row r="141" spans="1:12" ht="10.5">
      <c r="A141" s="30">
        <v>45</v>
      </c>
      <c r="B141" s="39" t="s">
        <v>81</v>
      </c>
      <c r="C141" s="34" t="s">
        <v>243</v>
      </c>
      <c r="D141" s="37">
        <v>0</v>
      </c>
      <c r="F141" s="24">
        <f>ROUND(SUMIF(Определители!I19:I22,"=5",'Базовые цены с учетом расхода'!O19:O22),2)</f>
        <v>0</v>
      </c>
      <c r="G141" s="24"/>
      <c r="H141" s="24"/>
      <c r="I141" s="24"/>
      <c r="J141" s="40"/>
      <c r="K141" s="40"/>
      <c r="L141" s="24"/>
    </row>
    <row r="142" spans="1:12" ht="10.5">
      <c r="A142" s="30">
        <v>46</v>
      </c>
      <c r="B142" s="39" t="s">
        <v>94</v>
      </c>
      <c r="C142" s="34" t="s">
        <v>244</v>
      </c>
      <c r="D142" s="37">
        <v>0</v>
      </c>
      <c r="F142" s="24">
        <f>ROUND((F138+F140+F141),2)</f>
        <v>0</v>
      </c>
      <c r="G142" s="24"/>
      <c r="H142" s="24"/>
      <c r="I142" s="24"/>
      <c r="J142" s="40"/>
      <c r="K142" s="40"/>
      <c r="L142" s="24"/>
    </row>
    <row r="143" spans="1:12" ht="10.5">
      <c r="A143" s="30">
        <v>47</v>
      </c>
      <c r="B143" s="39" t="s">
        <v>95</v>
      </c>
      <c r="C143" s="34" t="s">
        <v>243</v>
      </c>
      <c r="D143" s="37">
        <v>0</v>
      </c>
      <c r="F143" s="24">
        <f>ROUND(SUMIF(Определители!I19:I22,"=6",'Базовые цены с учетом расхода'!B19:B22),2)</f>
        <v>0</v>
      </c>
      <c r="G143" s="24">
        <f>ROUND(SUMIF(Определители!I19:I22,"=6",'Базовые цены с учетом расхода'!C19:C22),2)</f>
        <v>0</v>
      </c>
      <c r="H143" s="24">
        <f>ROUND(SUMIF(Определители!I19:I22,"=6",'Базовые цены с учетом расхода'!D19:D22),2)</f>
        <v>0</v>
      </c>
      <c r="I143" s="24">
        <f>ROUND(SUMIF(Определители!I19:I22,"=6",'Базовые цены с учетом расхода'!E19:E22),2)</f>
        <v>0</v>
      </c>
      <c r="J143" s="40">
        <f>ROUND(SUMIF(Определители!I19:I22,"=6",'Базовые цены с учетом расхода'!I19:I22),8)</f>
        <v>0</v>
      </c>
      <c r="K143" s="40">
        <f>ROUND(SUMIF(Определители!I19:I22,"=6",'Базовые цены с учетом расхода'!K19:K22),8)</f>
        <v>0</v>
      </c>
      <c r="L143" s="24">
        <f>ROUND(SUMIF(Определители!I19:I22,"=6",'Базовые цены с учетом расхода'!F19:F22),2)</f>
        <v>0</v>
      </c>
    </row>
    <row r="144" spans="1:12" ht="10.5">
      <c r="A144" s="30">
        <v>48</v>
      </c>
      <c r="B144" s="39" t="s">
        <v>79</v>
      </c>
      <c r="C144" s="34" t="s">
        <v>243</v>
      </c>
      <c r="D144" s="37">
        <v>0</v>
      </c>
      <c r="F144" s="24">
        <f>ROUND(SUMIF(Определители!I19:I22,"=6",'Базовые цены с учетом расхода'!H19:H22),2)</f>
        <v>0</v>
      </c>
      <c r="G144" s="24"/>
      <c r="H144" s="24"/>
      <c r="I144" s="24"/>
      <c r="J144" s="40"/>
      <c r="K144" s="40"/>
      <c r="L144" s="24"/>
    </row>
    <row r="145" spans="1:12" ht="10.5">
      <c r="A145" s="30">
        <v>49</v>
      </c>
      <c r="B145" s="39" t="s">
        <v>80</v>
      </c>
      <c r="C145" s="34" t="s">
        <v>243</v>
      </c>
      <c r="D145" s="37">
        <v>0</v>
      </c>
      <c r="F145" s="24">
        <f>ROUND(SUMIF(Определители!I19:I22,"=6",'Базовые цены с учетом расхода'!N19:N22),2)</f>
        <v>0</v>
      </c>
      <c r="G145" s="24"/>
      <c r="H145" s="24"/>
      <c r="I145" s="24"/>
      <c r="J145" s="40"/>
      <c r="K145" s="40"/>
      <c r="L145" s="24"/>
    </row>
    <row r="146" spans="1:12" ht="10.5">
      <c r="A146" s="30">
        <v>50</v>
      </c>
      <c r="B146" s="39" t="s">
        <v>81</v>
      </c>
      <c r="C146" s="34" t="s">
        <v>243</v>
      </c>
      <c r="D146" s="37">
        <v>0</v>
      </c>
      <c r="F146" s="24">
        <f>ROUND(SUMIF(Определители!I19:I22,"=6",'Базовые цены с учетом расхода'!O19:O22),2)</f>
        <v>0</v>
      </c>
      <c r="G146" s="24"/>
      <c r="H146" s="24"/>
      <c r="I146" s="24"/>
      <c r="J146" s="40"/>
      <c r="K146" s="40"/>
      <c r="L146" s="24"/>
    </row>
    <row r="147" spans="1:12" ht="10.5">
      <c r="A147" s="30">
        <v>51</v>
      </c>
      <c r="B147" s="39" t="s">
        <v>96</v>
      </c>
      <c r="C147" s="34" t="s">
        <v>244</v>
      </c>
      <c r="D147" s="37">
        <v>0</v>
      </c>
      <c r="F147" s="24">
        <f>ROUND((F143+F145+F146),2)</f>
        <v>0</v>
      </c>
      <c r="G147" s="24"/>
      <c r="H147" s="24"/>
      <c r="I147" s="24"/>
      <c r="J147" s="40"/>
      <c r="K147" s="40"/>
      <c r="L147" s="24"/>
    </row>
    <row r="148" spans="1:12" ht="10.5">
      <c r="A148" s="30">
        <v>52</v>
      </c>
      <c r="B148" s="39" t="s">
        <v>97</v>
      </c>
      <c r="C148" s="34" t="s">
        <v>243</v>
      </c>
      <c r="D148" s="37">
        <v>0</v>
      </c>
      <c r="F148" s="24">
        <f>ROUND(SUMIF(Определители!I19:I22,"=7",'Базовые цены с учетом расхода'!B19:B22),2)</f>
        <v>0</v>
      </c>
      <c r="G148" s="24">
        <f>ROUND(SUMIF(Определители!I19:I22,"=7",'Базовые цены с учетом расхода'!C19:C22),2)</f>
        <v>0</v>
      </c>
      <c r="H148" s="24">
        <f>ROUND(SUMIF(Определители!I19:I22,"=7",'Базовые цены с учетом расхода'!D19:D22),2)</f>
        <v>0</v>
      </c>
      <c r="I148" s="24">
        <f>ROUND(SUMIF(Определители!I19:I22,"=7",'Базовые цены с учетом расхода'!E19:E22),2)</f>
        <v>0</v>
      </c>
      <c r="J148" s="40">
        <f>ROUND(SUMIF(Определители!I19:I22,"=7",'Базовые цены с учетом расхода'!I19:I22),8)</f>
        <v>0</v>
      </c>
      <c r="K148" s="40">
        <f>ROUND(SUMIF(Определители!I19:I22,"=7",'Базовые цены с учетом расхода'!K19:K22),8)</f>
        <v>0</v>
      </c>
      <c r="L148" s="24">
        <f>ROUND(SUMIF(Определители!I19:I22,"=7",'Базовые цены с учетом расхода'!F19:F22),2)</f>
        <v>0</v>
      </c>
    </row>
    <row r="149" spans="1:12" ht="10.5">
      <c r="A149" s="30">
        <v>53</v>
      </c>
      <c r="B149" s="39" t="s">
        <v>75</v>
      </c>
      <c r="C149" s="34" t="s">
        <v>243</v>
      </c>
      <c r="D149" s="37">
        <v>0</v>
      </c>
      <c r="F149" s="24"/>
      <c r="G149" s="24"/>
      <c r="H149" s="24"/>
      <c r="I149" s="24"/>
      <c r="J149" s="40"/>
      <c r="K149" s="40"/>
      <c r="L149" s="24"/>
    </row>
    <row r="150" spans="1:12" ht="10.5">
      <c r="A150" s="30">
        <v>54</v>
      </c>
      <c r="B150" s="39" t="s">
        <v>98</v>
      </c>
      <c r="C150" s="34" t="s">
        <v>243</v>
      </c>
      <c r="D150" s="37">
        <v>0</v>
      </c>
      <c r="F150" s="24">
        <f>ROUND(SUMIF(Определители!G19:G22,"=1",'Базовые цены с учетом расхода'!F19:F22),2)</f>
        <v>0</v>
      </c>
      <c r="G150" s="24"/>
      <c r="H150" s="24"/>
      <c r="I150" s="24"/>
      <c r="J150" s="40"/>
      <c r="K150" s="40"/>
      <c r="L150" s="24"/>
    </row>
    <row r="151" spans="1:12" ht="10.5">
      <c r="A151" s="30">
        <v>55</v>
      </c>
      <c r="B151" s="39" t="s">
        <v>79</v>
      </c>
      <c r="C151" s="34" t="s">
        <v>243</v>
      </c>
      <c r="D151" s="37">
        <v>0</v>
      </c>
      <c r="F151" s="24">
        <f>ROUND(SUMIF(Определители!I19:I22,"=7",'Базовые цены с учетом расхода'!H19:H22),2)</f>
        <v>0</v>
      </c>
      <c r="G151" s="24"/>
      <c r="H151" s="24"/>
      <c r="I151" s="24"/>
      <c r="J151" s="40"/>
      <c r="K151" s="40"/>
      <c r="L151" s="24"/>
    </row>
    <row r="152" spans="1:12" ht="10.5">
      <c r="A152" s="30">
        <v>56</v>
      </c>
      <c r="B152" s="39" t="s">
        <v>99</v>
      </c>
      <c r="C152" s="34" t="s">
        <v>243</v>
      </c>
      <c r="D152" s="37">
        <v>0</v>
      </c>
      <c r="F152" s="24">
        <f>ROUND(SUMIF(Определители!I19:I22,"=7",'Базовые цены с учетом расхода'!N19:N22),2)</f>
        <v>0</v>
      </c>
      <c r="G152" s="24"/>
      <c r="H152" s="24"/>
      <c r="I152" s="24"/>
      <c r="J152" s="40"/>
      <c r="K152" s="40"/>
      <c r="L152" s="24"/>
    </row>
    <row r="153" spans="1:12" ht="10.5">
      <c r="A153" s="30">
        <v>57</v>
      </c>
      <c r="B153" s="39" t="s">
        <v>81</v>
      </c>
      <c r="C153" s="34" t="s">
        <v>243</v>
      </c>
      <c r="D153" s="37">
        <v>0</v>
      </c>
      <c r="F153" s="24">
        <f>ROUND(SUMIF(Определители!I19:I22,"=7",'Базовые цены с учетом расхода'!O19:O22),2)</f>
        <v>0</v>
      </c>
      <c r="G153" s="24"/>
      <c r="H153" s="24"/>
      <c r="I153" s="24"/>
      <c r="J153" s="40"/>
      <c r="K153" s="40"/>
      <c r="L153" s="24"/>
    </row>
    <row r="154" spans="1:12" ht="10.5">
      <c r="A154" s="30">
        <v>58</v>
      </c>
      <c r="B154" s="39" t="s">
        <v>100</v>
      </c>
      <c r="C154" s="34" t="s">
        <v>244</v>
      </c>
      <c r="D154" s="37">
        <v>0</v>
      </c>
      <c r="F154" s="24">
        <f>ROUND((F148+F152+F153),2)</f>
        <v>0</v>
      </c>
      <c r="G154" s="24"/>
      <c r="H154" s="24"/>
      <c r="I154" s="24"/>
      <c r="J154" s="40"/>
      <c r="K154" s="40"/>
      <c r="L154" s="24"/>
    </row>
    <row r="155" spans="1:12" ht="10.5">
      <c r="A155" s="30">
        <v>59</v>
      </c>
      <c r="B155" s="39" t="s">
        <v>101</v>
      </c>
      <c r="C155" s="34" t="s">
        <v>243</v>
      </c>
      <c r="D155" s="37">
        <v>0</v>
      </c>
      <c r="F155" s="24">
        <f>ROUND(SUMIF(Определители!I19:I22,"=9",'Базовые цены с учетом расхода'!B19:B22),2)</f>
        <v>0</v>
      </c>
      <c r="G155" s="24">
        <f>ROUND(SUMIF(Определители!I19:I22,"=9",'Базовые цены с учетом расхода'!C19:C22),2)</f>
        <v>0</v>
      </c>
      <c r="H155" s="24">
        <f>ROUND(SUMIF(Определители!I19:I22,"=9",'Базовые цены с учетом расхода'!D19:D22),2)</f>
        <v>0</v>
      </c>
      <c r="I155" s="24">
        <f>ROUND(SUMIF(Определители!I19:I22,"=9",'Базовые цены с учетом расхода'!E19:E22),2)</f>
        <v>0</v>
      </c>
      <c r="J155" s="40">
        <f>ROUND(SUMIF(Определители!I19:I22,"=9",'Базовые цены с учетом расхода'!I19:I22),8)</f>
        <v>0</v>
      </c>
      <c r="K155" s="40">
        <f>ROUND(SUMIF(Определители!I19:I22,"=9",'Базовые цены с учетом расхода'!K19:K22),8)</f>
        <v>0</v>
      </c>
      <c r="L155" s="24">
        <f>ROUND(SUMIF(Определители!I19:I22,"=9",'Базовые цены с учетом расхода'!F19:F22),2)</f>
        <v>0</v>
      </c>
    </row>
    <row r="156" spans="1:12" ht="10.5">
      <c r="A156" s="30">
        <v>60</v>
      </c>
      <c r="B156" s="39" t="s">
        <v>99</v>
      </c>
      <c r="C156" s="34" t="s">
        <v>243</v>
      </c>
      <c r="D156" s="37">
        <v>0</v>
      </c>
      <c r="F156" s="24">
        <f>ROUND(SUMIF(Определители!I19:I22,"=9",'Базовые цены с учетом расхода'!N19:N22),2)</f>
        <v>0</v>
      </c>
      <c r="G156" s="24"/>
      <c r="H156" s="24"/>
      <c r="I156" s="24"/>
      <c r="J156" s="40"/>
      <c r="K156" s="40"/>
      <c r="L156" s="24"/>
    </row>
    <row r="157" spans="1:12" ht="10.5">
      <c r="A157" s="30">
        <v>61</v>
      </c>
      <c r="B157" s="39" t="s">
        <v>81</v>
      </c>
      <c r="C157" s="34" t="s">
        <v>243</v>
      </c>
      <c r="D157" s="37">
        <v>0</v>
      </c>
      <c r="F157" s="24">
        <f>ROUND(SUMIF(Определители!I19:I22,"=9",'Базовые цены с учетом расхода'!O19:O22),2)</f>
        <v>0</v>
      </c>
      <c r="G157" s="24"/>
      <c r="H157" s="24"/>
      <c r="I157" s="24"/>
      <c r="J157" s="40"/>
      <c r="K157" s="40"/>
      <c r="L157" s="24"/>
    </row>
    <row r="158" spans="1:12" ht="10.5">
      <c r="A158" s="30">
        <v>62</v>
      </c>
      <c r="B158" s="39" t="s">
        <v>102</v>
      </c>
      <c r="C158" s="34" t="s">
        <v>244</v>
      </c>
      <c r="D158" s="37">
        <v>0</v>
      </c>
      <c r="F158" s="24">
        <f>ROUND((F155+F156+F157),2)</f>
        <v>0</v>
      </c>
      <c r="G158" s="24"/>
      <c r="H158" s="24"/>
      <c r="I158" s="24"/>
      <c r="J158" s="40"/>
      <c r="K158" s="40"/>
      <c r="L158" s="24"/>
    </row>
    <row r="159" spans="1:12" ht="10.5">
      <c r="A159" s="30">
        <v>63</v>
      </c>
      <c r="B159" s="39" t="s">
        <v>103</v>
      </c>
      <c r="C159" s="34" t="s">
        <v>243</v>
      </c>
      <c r="D159" s="37">
        <v>0</v>
      </c>
      <c r="F159" s="24">
        <f>ROUND(SUMIF(Определители!I19:I22,"=:",'Базовые цены с учетом расхода'!B19:B22),2)</f>
        <v>0</v>
      </c>
      <c r="G159" s="24">
        <f>ROUND(SUMIF(Определители!I19:I22,"=:",'Базовые цены с учетом расхода'!C19:C22),2)</f>
        <v>0</v>
      </c>
      <c r="H159" s="24">
        <f>ROUND(SUMIF(Определители!I19:I22,"=:",'Базовые цены с учетом расхода'!D19:D22),2)</f>
        <v>0</v>
      </c>
      <c r="I159" s="24">
        <f>ROUND(SUMIF(Определители!I19:I22,"=:",'Базовые цены с учетом расхода'!E19:E22),2)</f>
        <v>0</v>
      </c>
      <c r="J159" s="40">
        <f>ROUND(SUMIF(Определители!I19:I22,"=:",'Базовые цены с учетом расхода'!I19:I22),8)</f>
        <v>0</v>
      </c>
      <c r="K159" s="40">
        <f>ROUND(SUMIF(Определители!I19:I22,"=:",'Базовые цены с учетом расхода'!K19:K22),8)</f>
        <v>0</v>
      </c>
      <c r="L159" s="24">
        <f>ROUND(SUMIF(Определители!I19:I22,"=:",'Базовые цены с учетом расхода'!F19:F22),2)</f>
        <v>0</v>
      </c>
    </row>
    <row r="160" spans="1:12" ht="10.5">
      <c r="A160" s="30">
        <v>64</v>
      </c>
      <c r="B160" s="39" t="s">
        <v>79</v>
      </c>
      <c r="C160" s="34" t="s">
        <v>243</v>
      </c>
      <c r="D160" s="37">
        <v>0</v>
      </c>
      <c r="F160" s="24">
        <f>ROUND(SUMIF(Определители!I19:I22,"=:",'Базовые цены с учетом расхода'!H19:H22),2)</f>
        <v>0</v>
      </c>
      <c r="G160" s="24"/>
      <c r="H160" s="24"/>
      <c r="I160" s="24"/>
      <c r="J160" s="40"/>
      <c r="K160" s="40"/>
      <c r="L160" s="24"/>
    </row>
    <row r="161" spans="1:12" ht="10.5">
      <c r="A161" s="30">
        <v>65</v>
      </c>
      <c r="B161" s="39" t="s">
        <v>99</v>
      </c>
      <c r="C161" s="34" t="s">
        <v>243</v>
      </c>
      <c r="D161" s="37">
        <v>0</v>
      </c>
      <c r="F161" s="24">
        <f>ROUND(SUMIF(Определители!I19:I22,"=:",'Базовые цены с учетом расхода'!N19:N22),2)</f>
        <v>0</v>
      </c>
      <c r="G161" s="24"/>
      <c r="H161" s="24"/>
      <c r="I161" s="24"/>
      <c r="J161" s="40"/>
      <c r="K161" s="40"/>
      <c r="L161" s="24"/>
    </row>
    <row r="162" spans="1:12" ht="10.5">
      <c r="A162" s="30">
        <v>66</v>
      </c>
      <c r="B162" s="39" t="s">
        <v>81</v>
      </c>
      <c r="C162" s="34" t="s">
        <v>243</v>
      </c>
      <c r="D162" s="37">
        <v>0</v>
      </c>
      <c r="F162" s="24">
        <f>ROUND(SUMIF(Определители!I19:I22,"=:",'Базовые цены с учетом расхода'!O19:O22),2)</f>
        <v>0</v>
      </c>
      <c r="G162" s="24"/>
      <c r="H162" s="24"/>
      <c r="I162" s="24"/>
      <c r="J162" s="40"/>
      <c r="K162" s="40"/>
      <c r="L162" s="24"/>
    </row>
    <row r="163" spans="1:12" ht="10.5">
      <c r="A163" s="30">
        <v>67</v>
      </c>
      <c r="B163" s="39" t="s">
        <v>104</v>
      </c>
      <c r="C163" s="34" t="s">
        <v>244</v>
      </c>
      <c r="D163" s="37">
        <v>0</v>
      </c>
      <c r="F163" s="24">
        <f>ROUND((F159+F161+F162),2)</f>
        <v>0</v>
      </c>
      <c r="G163" s="24"/>
      <c r="H163" s="24"/>
      <c r="I163" s="24"/>
      <c r="J163" s="40"/>
      <c r="K163" s="40"/>
      <c r="L163" s="24"/>
    </row>
    <row r="164" spans="1:12" ht="10.5">
      <c r="A164" s="30">
        <v>68</v>
      </c>
      <c r="B164" s="39" t="s">
        <v>105</v>
      </c>
      <c r="C164" s="34" t="s">
        <v>243</v>
      </c>
      <c r="D164" s="37">
        <v>0</v>
      </c>
      <c r="F164" s="24">
        <f>ROUND(SUMIF(Определители!I19:I22,"=8",'Базовые цены с учетом расхода'!B19:B22),2)</f>
        <v>0</v>
      </c>
      <c r="G164" s="24">
        <f>ROUND(SUMIF(Определители!I19:I22,"=8",'Базовые цены с учетом расхода'!C19:C22),2)</f>
        <v>0</v>
      </c>
      <c r="H164" s="24">
        <f>ROUND(SUMIF(Определители!I19:I22,"=8",'Базовые цены с учетом расхода'!D19:D22),2)</f>
        <v>0</v>
      </c>
      <c r="I164" s="24">
        <f>ROUND(SUMIF(Определители!I19:I22,"=8",'Базовые цены с учетом расхода'!E19:E22),2)</f>
        <v>0</v>
      </c>
      <c r="J164" s="40">
        <f>ROUND(SUMIF(Определители!I19:I22,"=8",'Базовые цены с учетом расхода'!I19:I22),8)</f>
        <v>0</v>
      </c>
      <c r="K164" s="40">
        <f>ROUND(SUMIF(Определители!I19:I22,"=8",'Базовые цены с учетом расхода'!K19:K22),8)</f>
        <v>0</v>
      </c>
      <c r="L164" s="24">
        <f>ROUND(SUMIF(Определители!I19:I22,"=8",'Базовые цены с учетом расхода'!F19:F22),2)</f>
        <v>0</v>
      </c>
    </row>
    <row r="165" spans="1:12" ht="10.5">
      <c r="A165" s="30">
        <v>69</v>
      </c>
      <c r="B165" s="39" t="s">
        <v>79</v>
      </c>
      <c r="C165" s="34" t="s">
        <v>243</v>
      </c>
      <c r="D165" s="37">
        <v>0</v>
      </c>
      <c r="F165" s="24">
        <f>ROUND(SUMIF(Определители!I19:I22,"=8",'Базовые цены с учетом расхода'!H19:H22),2)</f>
        <v>0</v>
      </c>
      <c r="G165" s="24"/>
      <c r="H165" s="24"/>
      <c r="I165" s="24"/>
      <c r="J165" s="40"/>
      <c r="K165" s="40"/>
      <c r="L165" s="24"/>
    </row>
    <row r="166" spans="1:12" ht="10.5">
      <c r="A166" s="30">
        <v>70</v>
      </c>
      <c r="B166" s="39" t="s">
        <v>137</v>
      </c>
      <c r="C166" s="34" t="s">
        <v>244</v>
      </c>
      <c r="D166" s="37">
        <v>0</v>
      </c>
      <c r="F166" s="24">
        <f>ROUND((F107+F117+F124+F129+F137+F142+F147+F154+F158+F163+F164),2)</f>
        <v>14074.87</v>
      </c>
      <c r="G166" s="24">
        <f>ROUND((G107+G117+G124+G129+G137+G142+G147+G154+G158+G163+G164),2)</f>
        <v>0</v>
      </c>
      <c r="H166" s="24">
        <f>ROUND((H107+H117+H124+H129+H137+H142+H147+H154+H158+H163+H164),2)</f>
        <v>0</v>
      </c>
      <c r="I166" s="24">
        <f>ROUND((I107+I117+I124+I129+I137+I142+I147+I154+I158+I163+I164),2)</f>
        <v>0</v>
      </c>
      <c r="J166" s="40">
        <f>ROUND((J107+J117+J124+J129+J137+J142+J147+J154+J158+J163+J164),8)</f>
        <v>0</v>
      </c>
      <c r="K166" s="40">
        <f>ROUND((K107+K117+K124+K129+K137+K142+K147+K154+K158+K163+K164),8)</f>
        <v>0</v>
      </c>
      <c r="L166" s="24">
        <f>ROUND((L107+L117+L124+L129+L137+L142+L147+L154+L158+L163+L164),2)</f>
        <v>0</v>
      </c>
    </row>
    <row r="167" spans="1:12" ht="10.5">
      <c r="A167" s="30">
        <v>71</v>
      </c>
      <c r="B167" s="39" t="s">
        <v>107</v>
      </c>
      <c r="C167" s="34" t="s">
        <v>244</v>
      </c>
      <c r="D167" s="37">
        <v>0</v>
      </c>
      <c r="F167" s="24">
        <f>ROUND((F113+F121+F126+F133+F139+F144+F151+F160+F165),2)</f>
        <v>0</v>
      </c>
      <c r="G167" s="24"/>
      <c r="H167" s="24"/>
      <c r="I167" s="24"/>
      <c r="J167" s="40"/>
      <c r="K167" s="40"/>
      <c r="L167" s="24"/>
    </row>
    <row r="168" spans="1:12" ht="10.5">
      <c r="A168" s="30">
        <v>72</v>
      </c>
      <c r="B168" s="39" t="s">
        <v>108</v>
      </c>
      <c r="C168" s="34" t="s">
        <v>244</v>
      </c>
      <c r="D168" s="37">
        <v>0</v>
      </c>
      <c r="F168" s="24">
        <f>ROUND((F114+F122+F127+F134+F140+F145+F152+F156+F161),2)</f>
        <v>2573.67</v>
      </c>
      <c r="G168" s="24"/>
      <c r="H168" s="24"/>
      <c r="I168" s="24"/>
      <c r="J168" s="40"/>
      <c r="K168" s="40"/>
      <c r="L168" s="24"/>
    </row>
    <row r="169" spans="1:12" ht="10.5">
      <c r="A169" s="30">
        <v>73</v>
      </c>
      <c r="B169" s="39" t="s">
        <v>109</v>
      </c>
      <c r="C169" s="34" t="s">
        <v>244</v>
      </c>
      <c r="D169" s="37">
        <v>0</v>
      </c>
      <c r="F169" s="24">
        <f>ROUND((F115+F123+F128+F135+F141+F146+F153+F157+F162),2)</f>
        <v>1411</v>
      </c>
      <c r="G169" s="24"/>
      <c r="H169" s="24"/>
      <c r="I169" s="24"/>
      <c r="J169" s="40"/>
      <c r="K169" s="40"/>
      <c r="L169" s="24"/>
    </row>
    <row r="170" spans="1:12" ht="10.5">
      <c r="A170" s="30">
        <v>74</v>
      </c>
      <c r="B170" s="39" t="s">
        <v>138</v>
      </c>
      <c r="C170" s="34" t="s">
        <v>245</v>
      </c>
      <c r="D170" s="37">
        <v>3.74</v>
      </c>
      <c r="F170" s="24">
        <f>ROUND((F166)*D170,2)</f>
        <v>52640.01</v>
      </c>
      <c r="G170" s="24"/>
      <c r="H170" s="24"/>
      <c r="I170" s="24"/>
      <c r="J170" s="40"/>
      <c r="K170" s="40"/>
      <c r="L170" s="24"/>
    </row>
    <row r="171" spans="1:12" ht="10.5">
      <c r="A171" s="30">
        <v>75</v>
      </c>
      <c r="B171" s="39" t="s">
        <v>111</v>
      </c>
      <c r="C171" s="34" t="s">
        <v>246</v>
      </c>
      <c r="D171" s="37">
        <v>18</v>
      </c>
      <c r="F171" s="24">
        <f>ROUND((F170)*D171/100,2)</f>
        <v>9475.2</v>
      </c>
      <c r="G171" s="24"/>
      <c r="H171" s="24"/>
      <c r="I171" s="24"/>
      <c r="J171" s="40"/>
      <c r="K171" s="40"/>
      <c r="L171" s="24"/>
    </row>
    <row r="172" spans="1:12" ht="10.5">
      <c r="A172" s="30">
        <v>76</v>
      </c>
      <c r="B172" s="39" t="s">
        <v>112</v>
      </c>
      <c r="C172" s="34" t="s">
        <v>247</v>
      </c>
      <c r="D172" s="37">
        <v>0</v>
      </c>
      <c r="F172" s="24">
        <f>ROUND((F170+F171),2)</f>
        <v>62115.21</v>
      </c>
      <c r="G172" s="24"/>
      <c r="H172" s="24"/>
      <c r="I172" s="24"/>
      <c r="J172" s="40"/>
      <c r="K172" s="40"/>
      <c r="L172" s="24"/>
    </row>
    <row r="173" spans="1:12" ht="10.5">
      <c r="A173" s="30">
        <v>77</v>
      </c>
      <c r="B173" s="39" t="s">
        <v>113</v>
      </c>
      <c r="C173" s="34" t="s">
        <v>248</v>
      </c>
      <c r="D173" s="37">
        <v>0</v>
      </c>
      <c r="F173" s="24"/>
      <c r="G173" s="24"/>
      <c r="H173" s="24"/>
      <c r="I173" s="24"/>
      <c r="J173" s="40"/>
      <c r="K173" s="40"/>
      <c r="L173" s="24">
        <f>ROUND(SUM('Базовые цены с учетом расхода'!X19:X22),2)</f>
        <v>0</v>
      </c>
    </row>
    <row r="174" spans="1:12" ht="10.5">
      <c r="A174" s="30">
        <v>78</v>
      </c>
      <c r="B174" s="39" t="s">
        <v>114</v>
      </c>
      <c r="C174" s="34" t="s">
        <v>248</v>
      </c>
      <c r="D174" s="37">
        <v>0</v>
      </c>
      <c r="F174" s="24">
        <f>ROUND(SUM('Базовые цены с учетом расхода'!C19:C22),2)</f>
        <v>1112.72</v>
      </c>
      <c r="G174" s="24"/>
      <c r="H174" s="24"/>
      <c r="I174" s="24"/>
      <c r="J174" s="40"/>
      <c r="K174" s="40"/>
      <c r="L174" s="24"/>
    </row>
    <row r="175" spans="1:12" ht="10.5">
      <c r="A175" s="30">
        <v>79</v>
      </c>
      <c r="B175" s="39" t="s">
        <v>115</v>
      </c>
      <c r="C175" s="34" t="s">
        <v>248</v>
      </c>
      <c r="D175" s="37">
        <v>0</v>
      </c>
      <c r="F175" s="24">
        <f>ROUND(SUM('Базовые цены с учетом расхода'!E19:E22),2)</f>
        <v>1838.16</v>
      </c>
      <c r="G175" s="24"/>
      <c r="H175" s="24"/>
      <c r="I175" s="24"/>
      <c r="J175" s="40"/>
      <c r="K175" s="40"/>
      <c r="L175" s="24"/>
    </row>
    <row r="176" spans="1:12" ht="10.5">
      <c r="A176" s="30">
        <v>80</v>
      </c>
      <c r="B176" s="39" t="s">
        <v>116</v>
      </c>
      <c r="C176" s="34" t="s">
        <v>247</v>
      </c>
      <c r="D176" s="37">
        <v>0</v>
      </c>
      <c r="F176" s="24">
        <f>ROUND((F174+F175),2)</f>
        <v>2950.88</v>
      </c>
      <c r="G176" s="24"/>
      <c r="H176" s="24"/>
      <c r="I176" s="24"/>
      <c r="J176" s="40"/>
      <c r="K176" s="40"/>
      <c r="L176" s="24"/>
    </row>
    <row r="177" spans="1:12" ht="10.5">
      <c r="A177" s="30">
        <v>81</v>
      </c>
      <c r="B177" s="39" t="s">
        <v>117</v>
      </c>
      <c r="C177" s="34" t="s">
        <v>248</v>
      </c>
      <c r="D177" s="37">
        <v>0</v>
      </c>
      <c r="F177" s="24"/>
      <c r="G177" s="24"/>
      <c r="H177" s="24"/>
      <c r="I177" s="24"/>
      <c r="J177" s="40">
        <f>ROUND(SUM('Базовые цены с учетом расхода'!I19:I22),8)</f>
        <v>104.98465</v>
      </c>
      <c r="K177" s="40"/>
      <c r="L177" s="24"/>
    </row>
    <row r="178" spans="1:12" ht="10.5">
      <c r="A178" s="30">
        <v>82</v>
      </c>
      <c r="B178" s="39" t="s">
        <v>118</v>
      </c>
      <c r="C178" s="34" t="s">
        <v>248</v>
      </c>
      <c r="D178" s="37">
        <v>0</v>
      </c>
      <c r="F178" s="24"/>
      <c r="G178" s="24"/>
      <c r="H178" s="24"/>
      <c r="I178" s="24"/>
      <c r="J178" s="40">
        <f>ROUND(SUM('Базовые цены с учетом расхода'!K19:K22),8)</f>
        <v>136.01913</v>
      </c>
      <c r="K178" s="40"/>
      <c r="L178" s="24"/>
    </row>
    <row r="179" spans="1:12" ht="10.5">
      <c r="A179" s="30">
        <v>83</v>
      </c>
      <c r="B179" s="39" t="s">
        <v>119</v>
      </c>
      <c r="C179" s="34" t="s">
        <v>247</v>
      </c>
      <c r="D179" s="37">
        <v>0</v>
      </c>
      <c r="F179" s="24"/>
      <c r="G179" s="24"/>
      <c r="H179" s="24"/>
      <c r="I179" s="24"/>
      <c r="J179" s="40">
        <f>ROUND((J177+J178),8)</f>
        <v>241.00378</v>
      </c>
      <c r="K179" s="40"/>
      <c r="L179" s="24"/>
    </row>
    <row r="180" spans="1:14" s="27" customFormat="1" ht="10.5">
      <c r="A180" s="28"/>
      <c r="B180" s="29" t="s">
        <v>230</v>
      </c>
      <c r="C180" s="29" t="s">
        <v>231</v>
      </c>
      <c r="D180" s="38" t="s">
        <v>232</v>
      </c>
      <c r="E180" s="29" t="s">
        <v>233</v>
      </c>
      <c r="F180" s="29" t="s">
        <v>234</v>
      </c>
      <c r="G180" s="29" t="s">
        <v>235</v>
      </c>
      <c r="H180" s="29" t="s">
        <v>236</v>
      </c>
      <c r="I180" s="29" t="s">
        <v>237</v>
      </c>
      <c r="J180" s="29" t="s">
        <v>238</v>
      </c>
      <c r="K180" s="29" t="s">
        <v>239</v>
      </c>
      <c r="L180" s="29" t="s">
        <v>240</v>
      </c>
      <c r="M180" s="29" t="s">
        <v>241</v>
      </c>
      <c r="N180" s="29"/>
    </row>
    <row r="181" spans="1:14" ht="10.5">
      <c r="A181" s="30">
        <v>1</v>
      </c>
      <c r="B181" s="39" t="s">
        <v>134</v>
      </c>
      <c r="C181" s="34" t="s">
        <v>242</v>
      </c>
      <c r="D181" s="37">
        <v>0</v>
      </c>
      <c r="E181" s="37"/>
      <c r="F181" s="24">
        <f>ROUND(SUM('Базовые цены с учетом расхода'!B6:B22),2)</f>
        <v>17851.66</v>
      </c>
      <c r="G181" s="24">
        <f>ROUND(SUM('Базовые цены с учетом расхода'!C6:C22),2)</f>
        <v>1176.53</v>
      </c>
      <c r="H181" s="24">
        <f>ROUND(SUM('Базовые цены с учетом расхода'!D6:D22),2)</f>
        <v>5265.19</v>
      </c>
      <c r="I181" s="24">
        <f>ROUND(SUM('Базовые цены с учетом расхода'!E6:E22),2)</f>
        <v>1914.5</v>
      </c>
      <c r="J181" s="40">
        <f>ROUND(SUM('Базовые цены с учетом расхода'!I6:I22),8)</f>
        <v>110.7401695</v>
      </c>
      <c r="K181" s="40">
        <f>ROUND(SUM('Базовые цены с учетом расхода'!K6:K22),8)</f>
        <v>140.936531</v>
      </c>
      <c r="L181" s="24">
        <f>ROUND(SUM('Базовые цены с учетом расхода'!F6:F22),2)</f>
        <v>11409.94</v>
      </c>
      <c r="N181" s="34" t="s">
        <v>226</v>
      </c>
    </row>
    <row r="182" spans="1:14" ht="10.5">
      <c r="A182" s="30">
        <v>2</v>
      </c>
      <c r="B182" s="39" t="s">
        <v>64</v>
      </c>
      <c r="C182" s="34" t="s">
        <v>243</v>
      </c>
      <c r="D182" s="37">
        <v>0</v>
      </c>
      <c r="F182" s="24">
        <f>ROUND(SUMIF(Определители!I6:I22,"= ",'Базовые цены с учетом расхода'!B6:B22),2)</f>
        <v>0</v>
      </c>
      <c r="G182" s="24">
        <f>ROUND(SUMIF(Определители!I6:I22,"= ",'Базовые цены с учетом расхода'!C6:C22),2)</f>
        <v>0</v>
      </c>
      <c r="H182" s="24">
        <f>ROUND(SUMIF(Определители!I6:I22,"= ",'Базовые цены с учетом расхода'!D6:D22),2)</f>
        <v>0</v>
      </c>
      <c r="I182" s="24">
        <f>ROUND(SUMIF(Определители!I6:I22,"= ",'Базовые цены с учетом расхода'!E6:E22),2)</f>
        <v>0</v>
      </c>
      <c r="J182" s="40">
        <f>ROUND(SUMIF(Определители!I6:I22,"= ",'Базовые цены с учетом расхода'!I6:I22),8)</f>
        <v>0</v>
      </c>
      <c r="K182" s="40">
        <f>ROUND(SUMIF(Определители!I6:I22,"= ",'Базовые цены с учетом расхода'!K6:K22),8)</f>
        <v>0</v>
      </c>
      <c r="L182" s="24">
        <f>ROUND(SUMIF(Определители!I6:I22,"= ",'Базовые цены с учетом расхода'!F6:F22),2)</f>
        <v>0</v>
      </c>
      <c r="N182" s="34" t="s">
        <v>229</v>
      </c>
    </row>
    <row r="183" spans="1:14" ht="10.5">
      <c r="A183" s="30">
        <v>3</v>
      </c>
      <c r="B183" s="39" t="s">
        <v>65</v>
      </c>
      <c r="C183" s="34" t="s">
        <v>243</v>
      </c>
      <c r="D183" s="37">
        <v>0</v>
      </c>
      <c r="F183" s="24">
        <f>ROUND(СУММПРОИЗВЕСЛИ(0.01,Определители!I6:I22," ",'Базовые цены с учетом расхода'!B6:B22,Начисления!X6:X22,0),2)</f>
        <v>0</v>
      </c>
      <c r="G183" s="24"/>
      <c r="H183" s="24"/>
      <c r="I183" s="24"/>
      <c r="J183" s="40"/>
      <c r="K183" s="40"/>
      <c r="L183" s="24"/>
      <c r="N183" s="34" t="s">
        <v>249</v>
      </c>
    </row>
    <row r="184" spans="1:14" ht="10.5">
      <c r="A184" s="30">
        <v>4</v>
      </c>
      <c r="B184" s="39" t="s">
        <v>66</v>
      </c>
      <c r="C184" s="34" t="s">
        <v>243</v>
      </c>
      <c r="D184" s="37">
        <v>0</v>
      </c>
      <c r="F184" s="24">
        <f>ROUND(СУММПРОИЗВЕСЛИ(0.01,Определители!I6:I22," ",'Базовые цены с учетом расхода'!B6:B22,Начисления!Y6:Y22,0),2)</f>
        <v>0</v>
      </c>
      <c r="G184" s="24"/>
      <c r="H184" s="24"/>
      <c r="I184" s="24"/>
      <c r="J184" s="40"/>
      <c r="K184" s="40"/>
      <c r="L184" s="24"/>
      <c r="N184" s="34" t="s">
        <v>250</v>
      </c>
    </row>
    <row r="185" spans="1:14" ht="10.5">
      <c r="A185" s="30">
        <v>5</v>
      </c>
      <c r="B185" s="39" t="s">
        <v>67</v>
      </c>
      <c r="C185" s="34" t="s">
        <v>243</v>
      </c>
      <c r="D185" s="37">
        <v>0</v>
      </c>
      <c r="F185" s="24">
        <f>ROUND(ТРАНСПРАСХОД(Определители!B6:B22,Определители!H6:H22,Определители!I6:I22,'Базовые цены с учетом расхода'!B6:B22,Начисления!Z6:Z22,Начисления!AA6:AA22),2)</f>
        <v>0</v>
      </c>
      <c r="G185" s="24"/>
      <c r="H185" s="24"/>
      <c r="I185" s="24"/>
      <c r="J185" s="40"/>
      <c r="K185" s="40"/>
      <c r="L185" s="24"/>
      <c r="N185" s="34" t="s">
        <v>251</v>
      </c>
    </row>
    <row r="186" spans="1:14" ht="10.5">
      <c r="A186" s="30">
        <v>6</v>
      </c>
      <c r="B186" s="39" t="s">
        <v>68</v>
      </c>
      <c r="C186" s="34" t="s">
        <v>243</v>
      </c>
      <c r="D186" s="37">
        <v>0</v>
      </c>
      <c r="F186" s="24">
        <f>ROUND(СУММПРОИЗВЕСЛИ(0.01,Определители!I6:I22," ",'Базовые цены с учетом расхода'!B6:B22,Начисления!AC6:AC22,0),2)</f>
        <v>0</v>
      </c>
      <c r="G186" s="24"/>
      <c r="H186" s="24"/>
      <c r="I186" s="24"/>
      <c r="J186" s="40"/>
      <c r="K186" s="40"/>
      <c r="L186" s="24"/>
      <c r="N186" s="34" t="s">
        <v>252</v>
      </c>
    </row>
    <row r="187" spans="1:14" ht="10.5">
      <c r="A187" s="30">
        <v>7</v>
      </c>
      <c r="B187" s="39" t="s">
        <v>69</v>
      </c>
      <c r="C187" s="34" t="s">
        <v>243</v>
      </c>
      <c r="D187" s="37">
        <v>0</v>
      </c>
      <c r="F187" s="24">
        <f>ROUND(СУММПРОИЗВЕСЛИ(0.01,Определители!I6:I22," ",'Базовые цены с учетом расхода'!B6:B22,Начисления!AF6:AF22,0),2)</f>
        <v>0</v>
      </c>
      <c r="G187" s="24"/>
      <c r="H187" s="24"/>
      <c r="I187" s="24"/>
      <c r="J187" s="40"/>
      <c r="K187" s="40"/>
      <c r="L187" s="24"/>
      <c r="N187" s="34" t="s">
        <v>253</v>
      </c>
    </row>
    <row r="188" spans="1:14" ht="10.5">
      <c r="A188" s="30">
        <v>8</v>
      </c>
      <c r="B188" s="39" t="s">
        <v>70</v>
      </c>
      <c r="C188" s="34" t="s">
        <v>243</v>
      </c>
      <c r="D188" s="37">
        <v>0</v>
      </c>
      <c r="F188" s="24">
        <f>ROUND(ЗАГОТСКЛАДРАСХОД(Определители!B6:B22,Определители!H6:H22,Определители!I6:I22,'Базовые цены с учетом расхода'!B6:B22,Начисления!X6:X22,Начисления!Y6:Y22,Начисления!Z6:Z22,Начисления!AA6:AA22,Начисления!AB6:AB22,Начисления!AC6:AC22,Начисления!AF6:AF22),2)</f>
        <v>0</v>
      </c>
      <c r="G188" s="24"/>
      <c r="H188" s="24"/>
      <c r="I188" s="24"/>
      <c r="J188" s="40"/>
      <c r="K188" s="40"/>
      <c r="L188" s="24"/>
      <c r="N188" s="34" t="s">
        <v>254</v>
      </c>
    </row>
    <row r="189" spans="1:14" ht="10.5">
      <c r="A189" s="30">
        <v>9</v>
      </c>
      <c r="B189" s="39" t="s">
        <v>71</v>
      </c>
      <c r="C189" s="34" t="s">
        <v>243</v>
      </c>
      <c r="D189" s="37">
        <v>0</v>
      </c>
      <c r="F189" s="24">
        <f>ROUND(СУММПРОИЗВЕСЛИ(1,Определители!I6:I22," ",'Базовые цены с учетом расхода'!M6:M22,Начисления!I6:I22,0),2)</f>
        <v>0</v>
      </c>
      <c r="G189" s="24"/>
      <c r="H189" s="24"/>
      <c r="I189" s="24"/>
      <c r="J189" s="40"/>
      <c r="K189" s="40"/>
      <c r="L189" s="24"/>
      <c r="N189" s="34" t="s">
        <v>255</v>
      </c>
    </row>
    <row r="190" spans="1:14" ht="10.5">
      <c r="A190" s="30">
        <v>10</v>
      </c>
      <c r="B190" s="39" t="s">
        <v>72</v>
      </c>
      <c r="C190" s="34" t="s">
        <v>244</v>
      </c>
      <c r="D190" s="37">
        <v>0</v>
      </c>
      <c r="F190" s="24">
        <f>ROUND((F189+F200+F220),2)</f>
        <v>0</v>
      </c>
      <c r="G190" s="24"/>
      <c r="H190" s="24"/>
      <c r="I190" s="24"/>
      <c r="J190" s="40"/>
      <c r="K190" s="40"/>
      <c r="L190" s="24"/>
      <c r="N190" s="34" t="s">
        <v>256</v>
      </c>
    </row>
    <row r="191" spans="1:14" ht="10.5">
      <c r="A191" s="30">
        <v>11</v>
      </c>
      <c r="B191" s="39" t="s">
        <v>73</v>
      </c>
      <c r="C191" s="34" t="s">
        <v>244</v>
      </c>
      <c r="D191" s="37">
        <v>0</v>
      </c>
      <c r="F191" s="24">
        <f>ROUND((F182+F183+F184+F185+F186+F187+F188+F190),2)</f>
        <v>0</v>
      </c>
      <c r="G191" s="24"/>
      <c r="H191" s="24"/>
      <c r="I191" s="24"/>
      <c r="J191" s="40"/>
      <c r="K191" s="40"/>
      <c r="L191" s="24"/>
      <c r="N191" s="34" t="s">
        <v>257</v>
      </c>
    </row>
    <row r="192" spans="1:14" ht="10.5">
      <c r="A192" s="30">
        <v>12</v>
      </c>
      <c r="B192" s="39" t="s">
        <v>74</v>
      </c>
      <c r="C192" s="34" t="s">
        <v>243</v>
      </c>
      <c r="D192" s="37">
        <v>0</v>
      </c>
      <c r="F192" s="24">
        <f>ROUND(SUMIF(Определители!I6:I22,"=1",'Базовые цены с учетом расхода'!B6:B22),2)</f>
        <v>0</v>
      </c>
      <c r="G192" s="24">
        <f>ROUND(SUMIF(Определители!I6:I22,"=1",'Базовые цены с учетом расхода'!C6:C22),2)</f>
        <v>0</v>
      </c>
      <c r="H192" s="24">
        <f>ROUND(SUMIF(Определители!I6:I22,"=1",'Базовые цены с учетом расхода'!D6:D22),2)</f>
        <v>0</v>
      </c>
      <c r="I192" s="24">
        <f>ROUND(SUMIF(Определители!I6:I22,"=1",'Базовые цены с учетом расхода'!E6:E22),2)</f>
        <v>0</v>
      </c>
      <c r="J192" s="40">
        <f>ROUND(SUMIF(Определители!I6:I22,"=1",'Базовые цены с учетом расхода'!I6:I22),8)</f>
        <v>0</v>
      </c>
      <c r="K192" s="40">
        <f>ROUND(SUMIF(Определители!I6:I22,"=1",'Базовые цены с учетом расхода'!K6:K22),8)</f>
        <v>0</v>
      </c>
      <c r="L192" s="24">
        <f>ROUND(SUMIF(Определители!I6:I22,"=1",'Базовые цены с учетом расхода'!F6:F22),2)</f>
        <v>0</v>
      </c>
      <c r="N192" s="34" t="s">
        <v>258</v>
      </c>
    </row>
    <row r="193" spans="1:14" ht="10.5">
      <c r="A193" s="30">
        <v>13</v>
      </c>
      <c r="B193" s="39" t="s">
        <v>75</v>
      </c>
      <c r="C193" s="34" t="s">
        <v>243</v>
      </c>
      <c r="D193" s="37">
        <v>0</v>
      </c>
      <c r="F193" s="24"/>
      <c r="G193" s="24"/>
      <c r="H193" s="24"/>
      <c r="I193" s="24"/>
      <c r="J193" s="40"/>
      <c r="K193" s="40"/>
      <c r="L193" s="24"/>
      <c r="N193" s="34" t="s">
        <v>259</v>
      </c>
    </row>
    <row r="194" spans="1:14" ht="10.5">
      <c r="A194" s="30">
        <v>14</v>
      </c>
      <c r="B194" s="39" t="s">
        <v>76</v>
      </c>
      <c r="C194" s="34" t="s">
        <v>243</v>
      </c>
      <c r="D194" s="37">
        <v>0</v>
      </c>
      <c r="F194" s="24"/>
      <c r="G194" s="24">
        <f>ROUND(SUMIF(Определители!I6:I22,"=1",'Базовые цены с учетом расхода'!U6:U22),2)</f>
        <v>0</v>
      </c>
      <c r="H194" s="24"/>
      <c r="I194" s="24"/>
      <c r="J194" s="40"/>
      <c r="K194" s="40"/>
      <c r="L194" s="24"/>
      <c r="N194" s="34" t="s">
        <v>260</v>
      </c>
    </row>
    <row r="195" spans="1:14" ht="10.5">
      <c r="A195" s="30">
        <v>15</v>
      </c>
      <c r="B195" s="39" t="s">
        <v>77</v>
      </c>
      <c r="C195" s="34" t="s">
        <v>243</v>
      </c>
      <c r="D195" s="37">
        <v>0</v>
      </c>
      <c r="F195" s="24">
        <f>ROUND(SUMIF(Определители!I6:I22,"=1",'Базовые цены с учетом расхода'!V6:V22),2)</f>
        <v>0</v>
      </c>
      <c r="G195" s="24"/>
      <c r="H195" s="24"/>
      <c r="I195" s="24"/>
      <c r="J195" s="40"/>
      <c r="K195" s="40"/>
      <c r="L195" s="24"/>
      <c r="N195" s="34" t="s">
        <v>261</v>
      </c>
    </row>
    <row r="196" spans="1:14" ht="10.5">
      <c r="A196" s="30">
        <v>16</v>
      </c>
      <c r="B196" s="39" t="s">
        <v>78</v>
      </c>
      <c r="C196" s="34" t="s">
        <v>243</v>
      </c>
      <c r="D196" s="37">
        <v>0</v>
      </c>
      <c r="F196" s="24">
        <f>ROUND(СУММЕСЛИ2(Определители!I6:I22,"1",Определители!G6:G22,"1",'Базовые цены с учетом расхода'!B6:B22),2)</f>
        <v>0</v>
      </c>
      <c r="G196" s="24"/>
      <c r="H196" s="24"/>
      <c r="I196" s="24"/>
      <c r="J196" s="40"/>
      <c r="K196" s="40"/>
      <c r="L196" s="24"/>
      <c r="N196" s="34" t="s">
        <v>262</v>
      </c>
    </row>
    <row r="197" spans="1:14" ht="10.5">
      <c r="A197" s="30">
        <v>17</v>
      </c>
      <c r="B197" s="39" t="s">
        <v>79</v>
      </c>
      <c r="C197" s="34" t="s">
        <v>243</v>
      </c>
      <c r="D197" s="37">
        <v>0</v>
      </c>
      <c r="F197" s="24">
        <f>ROUND(SUMIF(Определители!I6:I22,"=1",'Базовые цены с учетом расхода'!H6:H22),2)</f>
        <v>0</v>
      </c>
      <c r="G197" s="24"/>
      <c r="H197" s="24"/>
      <c r="I197" s="24"/>
      <c r="J197" s="40"/>
      <c r="K197" s="40"/>
      <c r="L197" s="24"/>
      <c r="N197" s="34" t="s">
        <v>263</v>
      </c>
    </row>
    <row r="198" spans="1:14" ht="10.5">
      <c r="A198" s="30">
        <v>18</v>
      </c>
      <c r="B198" s="39" t="s">
        <v>80</v>
      </c>
      <c r="C198" s="34" t="s">
        <v>243</v>
      </c>
      <c r="D198" s="37">
        <v>0</v>
      </c>
      <c r="F198" s="24">
        <f>ROUND(SUMIF(Определители!I6:I22,"=1",'Базовые цены с учетом расхода'!N6:N22),2)</f>
        <v>0</v>
      </c>
      <c r="G198" s="24"/>
      <c r="H198" s="24"/>
      <c r="I198" s="24"/>
      <c r="J198" s="40"/>
      <c r="K198" s="40"/>
      <c r="L198" s="24"/>
      <c r="N198" s="34" t="s">
        <v>264</v>
      </c>
    </row>
    <row r="199" spans="1:14" ht="10.5">
      <c r="A199" s="30">
        <v>19</v>
      </c>
      <c r="B199" s="39" t="s">
        <v>81</v>
      </c>
      <c r="C199" s="34" t="s">
        <v>243</v>
      </c>
      <c r="D199" s="37">
        <v>0</v>
      </c>
      <c r="F199" s="24">
        <f>ROUND(SUMIF(Определители!I6:I22,"=1",'Базовые цены с учетом расхода'!O6:O22),2)</f>
        <v>0</v>
      </c>
      <c r="G199" s="24"/>
      <c r="H199" s="24"/>
      <c r="I199" s="24"/>
      <c r="J199" s="40"/>
      <c r="K199" s="40"/>
      <c r="L199" s="24"/>
      <c r="N199" s="34" t="s">
        <v>265</v>
      </c>
    </row>
    <row r="200" spans="1:14" ht="10.5">
      <c r="A200" s="30">
        <v>20</v>
      </c>
      <c r="B200" s="39" t="s">
        <v>72</v>
      </c>
      <c r="C200" s="34" t="s">
        <v>243</v>
      </c>
      <c r="D200" s="37">
        <v>0</v>
      </c>
      <c r="F200" s="24">
        <f>ROUND(СУММПРОИЗВЕСЛИ(1,Определители!I6:I22," ",'Базовые цены с учетом расхода'!M6:M22,Начисления!I6:I22,0),2)</f>
        <v>0</v>
      </c>
      <c r="G200" s="24"/>
      <c r="H200" s="24"/>
      <c r="I200" s="24"/>
      <c r="J200" s="40"/>
      <c r="K200" s="40"/>
      <c r="L200" s="24"/>
      <c r="N200" s="34" t="s">
        <v>266</v>
      </c>
    </row>
    <row r="201" spans="1:14" ht="10.5">
      <c r="A201" s="30">
        <v>21</v>
      </c>
      <c r="B201" s="39" t="s">
        <v>82</v>
      </c>
      <c r="C201" s="34" t="s">
        <v>244</v>
      </c>
      <c r="D201" s="37">
        <v>0</v>
      </c>
      <c r="F201" s="24">
        <f>ROUND((F192+F198+F199),2)</f>
        <v>0</v>
      </c>
      <c r="G201" s="24"/>
      <c r="H201" s="24"/>
      <c r="I201" s="24"/>
      <c r="J201" s="40"/>
      <c r="K201" s="40"/>
      <c r="L201" s="24"/>
      <c r="N201" s="34" t="s">
        <v>267</v>
      </c>
    </row>
    <row r="202" spans="1:14" ht="10.5">
      <c r="A202" s="30">
        <v>22</v>
      </c>
      <c r="B202" s="39" t="s">
        <v>83</v>
      </c>
      <c r="C202" s="34" t="s">
        <v>243</v>
      </c>
      <c r="D202" s="37">
        <v>0</v>
      </c>
      <c r="F202" s="24">
        <f>ROUND(SUMIF(Определители!I6:I22,"=2",'Базовые цены с учетом расхода'!B6:B22),2)</f>
        <v>17851.66</v>
      </c>
      <c r="G202" s="24">
        <f>ROUND(SUMIF(Определители!I6:I22,"=2",'Базовые цены с учетом расхода'!C6:C22),2)</f>
        <v>1176.53</v>
      </c>
      <c r="H202" s="24">
        <f>ROUND(SUMIF(Определители!I6:I22,"=2",'Базовые цены с учетом расхода'!D6:D22),2)</f>
        <v>5265.19</v>
      </c>
      <c r="I202" s="24">
        <f>ROUND(SUMIF(Определители!I6:I22,"=2",'Базовые цены с учетом расхода'!E6:E22),2)</f>
        <v>1914.5</v>
      </c>
      <c r="J202" s="40">
        <f>ROUND(SUMIF(Определители!I6:I22,"=2",'Базовые цены с учетом расхода'!I6:I22),8)</f>
        <v>110.7401695</v>
      </c>
      <c r="K202" s="40">
        <f>ROUND(SUMIF(Определители!I6:I22,"=2",'Базовые цены с учетом расхода'!K6:K22),8)</f>
        <v>140.936531</v>
      </c>
      <c r="L202" s="24">
        <f>ROUND(SUMIF(Определители!I6:I22,"=2",'Базовые цены с учетом расхода'!F6:F22),2)</f>
        <v>11409.94</v>
      </c>
      <c r="N202" s="34" t="s">
        <v>268</v>
      </c>
    </row>
    <row r="203" spans="1:14" ht="10.5">
      <c r="A203" s="30">
        <v>23</v>
      </c>
      <c r="B203" s="39" t="s">
        <v>75</v>
      </c>
      <c r="C203" s="34" t="s">
        <v>243</v>
      </c>
      <c r="D203" s="37">
        <v>0</v>
      </c>
      <c r="F203" s="24"/>
      <c r="G203" s="24"/>
      <c r="H203" s="24"/>
      <c r="I203" s="24"/>
      <c r="J203" s="40"/>
      <c r="K203" s="40"/>
      <c r="L203" s="24"/>
      <c r="N203" s="34" t="s">
        <v>269</v>
      </c>
    </row>
    <row r="204" spans="1:14" ht="10.5">
      <c r="A204" s="30">
        <v>24</v>
      </c>
      <c r="B204" s="39" t="s">
        <v>84</v>
      </c>
      <c r="C204" s="34" t="s">
        <v>243</v>
      </c>
      <c r="D204" s="37">
        <v>0</v>
      </c>
      <c r="F204" s="24">
        <f>ROUND(SUMIF(Определители!G6:G22,"=1",'Базовые цены с учетом расхода'!F6:F22),2)</f>
        <v>392</v>
      </c>
      <c r="G204" s="24"/>
      <c r="H204" s="24"/>
      <c r="I204" s="24"/>
      <c r="J204" s="40"/>
      <c r="K204" s="40"/>
      <c r="L204" s="24"/>
      <c r="N204" s="34" t="s">
        <v>270</v>
      </c>
    </row>
    <row r="205" spans="1:14" ht="10.5">
      <c r="A205" s="30">
        <v>25</v>
      </c>
      <c r="B205" s="39" t="s">
        <v>79</v>
      </c>
      <c r="C205" s="34" t="s">
        <v>243</v>
      </c>
      <c r="D205" s="37">
        <v>0</v>
      </c>
      <c r="F205" s="24">
        <f>ROUND(SUMIF(Определители!I6:I22,"=2",'Базовые цены с учетом расхода'!H6:H22),2)</f>
        <v>0</v>
      </c>
      <c r="G205" s="24"/>
      <c r="H205" s="24"/>
      <c r="I205" s="24"/>
      <c r="J205" s="40"/>
      <c r="K205" s="40"/>
      <c r="L205" s="24"/>
      <c r="N205" s="34" t="s">
        <v>271</v>
      </c>
    </row>
    <row r="206" spans="1:14" ht="10.5">
      <c r="A206" s="30">
        <v>26</v>
      </c>
      <c r="B206" s="39" t="s">
        <v>80</v>
      </c>
      <c r="C206" s="34" t="s">
        <v>243</v>
      </c>
      <c r="D206" s="37">
        <v>0</v>
      </c>
      <c r="F206" s="24">
        <f>ROUND(SUMIF(Определители!I6:I22,"=2",'Базовые цены с учетом расхода'!N6:N22),2)</f>
        <v>2769.77</v>
      </c>
      <c r="G206" s="24"/>
      <c r="H206" s="24"/>
      <c r="I206" s="24"/>
      <c r="J206" s="40"/>
      <c r="K206" s="40"/>
      <c r="L206" s="24"/>
      <c r="N206" s="34" t="s">
        <v>272</v>
      </c>
    </row>
    <row r="207" spans="1:14" ht="10.5">
      <c r="A207" s="30">
        <v>27</v>
      </c>
      <c r="B207" s="39" t="s">
        <v>81</v>
      </c>
      <c r="C207" s="34" t="s">
        <v>243</v>
      </c>
      <c r="D207" s="37">
        <v>0</v>
      </c>
      <c r="F207" s="24">
        <f>ROUND(SUMIF(Определители!I6:I22,"=2",'Базовые цены с учетом расхода'!O6:O22),2)</f>
        <v>1522.17</v>
      </c>
      <c r="G207" s="24"/>
      <c r="H207" s="24"/>
      <c r="I207" s="24"/>
      <c r="J207" s="40"/>
      <c r="K207" s="40"/>
      <c r="L207" s="24"/>
      <c r="N207" s="34" t="s">
        <v>273</v>
      </c>
    </row>
    <row r="208" spans="1:14" ht="10.5">
      <c r="A208" s="30">
        <v>28</v>
      </c>
      <c r="B208" s="39" t="s">
        <v>87</v>
      </c>
      <c r="C208" s="34" t="s">
        <v>244</v>
      </c>
      <c r="D208" s="37">
        <v>0</v>
      </c>
      <c r="F208" s="24">
        <f>ROUND((F202+F206+F207),2)</f>
        <v>22143.6</v>
      </c>
      <c r="G208" s="24"/>
      <c r="H208" s="24"/>
      <c r="I208" s="24"/>
      <c r="J208" s="40"/>
      <c r="K208" s="40"/>
      <c r="L208" s="24"/>
      <c r="N208" s="34" t="s">
        <v>274</v>
      </c>
    </row>
    <row r="209" spans="1:14" ht="10.5">
      <c r="A209" s="30">
        <v>29</v>
      </c>
      <c r="B209" s="39" t="s">
        <v>88</v>
      </c>
      <c r="C209" s="34" t="s">
        <v>243</v>
      </c>
      <c r="D209" s="37">
        <v>0</v>
      </c>
      <c r="F209" s="24">
        <f>ROUND(SUMIF(Определители!I6:I22,"=3",'Базовые цены с учетом расхода'!B6:B22),2)</f>
        <v>0</v>
      </c>
      <c r="G209" s="24">
        <f>ROUND(SUMIF(Определители!I6:I22,"=3",'Базовые цены с учетом расхода'!C6:C22),2)</f>
        <v>0</v>
      </c>
      <c r="H209" s="24">
        <f>ROUND(SUMIF(Определители!I6:I22,"=3",'Базовые цены с учетом расхода'!D6:D22),2)</f>
        <v>0</v>
      </c>
      <c r="I209" s="24">
        <f>ROUND(SUMIF(Определители!I6:I22,"=3",'Базовые цены с учетом расхода'!E6:E22),2)</f>
        <v>0</v>
      </c>
      <c r="J209" s="40">
        <f>ROUND(SUMIF(Определители!I6:I22,"=3",'Базовые цены с учетом расхода'!I6:I22),8)</f>
        <v>0</v>
      </c>
      <c r="K209" s="40">
        <f>ROUND(SUMIF(Определители!I6:I22,"=3",'Базовые цены с учетом расхода'!K6:K22),8)</f>
        <v>0</v>
      </c>
      <c r="L209" s="24">
        <f>ROUND(SUMIF(Определители!I6:I22,"=3",'Базовые цены с учетом расхода'!F6:F22),2)</f>
        <v>0</v>
      </c>
      <c r="N209" s="34" t="s">
        <v>275</v>
      </c>
    </row>
    <row r="210" spans="1:14" ht="10.5">
      <c r="A210" s="30">
        <v>30</v>
      </c>
      <c r="B210" s="39" t="s">
        <v>79</v>
      </c>
      <c r="C210" s="34" t="s">
        <v>243</v>
      </c>
      <c r="D210" s="37">
        <v>0</v>
      </c>
      <c r="F210" s="24">
        <f>ROUND(SUMIF(Определители!I6:I22,"=3",'Базовые цены с учетом расхода'!H6:H22),2)</f>
        <v>0</v>
      </c>
      <c r="G210" s="24"/>
      <c r="H210" s="24"/>
      <c r="I210" s="24"/>
      <c r="J210" s="40"/>
      <c r="K210" s="40"/>
      <c r="L210" s="24"/>
      <c r="N210" s="34" t="s">
        <v>276</v>
      </c>
    </row>
    <row r="211" spans="1:14" ht="10.5">
      <c r="A211" s="30">
        <v>31</v>
      </c>
      <c r="B211" s="39" t="s">
        <v>80</v>
      </c>
      <c r="C211" s="34" t="s">
        <v>243</v>
      </c>
      <c r="D211" s="37">
        <v>0</v>
      </c>
      <c r="F211" s="24">
        <f>ROUND(SUMIF(Определители!I6:I22,"=3",'Базовые цены с учетом расхода'!N6:N22),2)</f>
        <v>0</v>
      </c>
      <c r="G211" s="24"/>
      <c r="H211" s="24"/>
      <c r="I211" s="24"/>
      <c r="J211" s="40"/>
      <c r="K211" s="40"/>
      <c r="L211" s="24"/>
      <c r="N211" s="34" t="s">
        <v>277</v>
      </c>
    </row>
    <row r="212" spans="1:14" ht="10.5">
      <c r="A212" s="30">
        <v>32</v>
      </c>
      <c r="B212" s="39" t="s">
        <v>81</v>
      </c>
      <c r="C212" s="34" t="s">
        <v>243</v>
      </c>
      <c r="D212" s="37">
        <v>0</v>
      </c>
      <c r="F212" s="24">
        <f>ROUND(SUMIF(Определители!I6:I22,"=3",'Базовые цены с учетом расхода'!O6:O22),2)</f>
        <v>0</v>
      </c>
      <c r="G212" s="24"/>
      <c r="H212" s="24"/>
      <c r="I212" s="24"/>
      <c r="J212" s="40"/>
      <c r="K212" s="40"/>
      <c r="L212" s="24"/>
      <c r="N212" s="34" t="s">
        <v>278</v>
      </c>
    </row>
    <row r="213" spans="1:14" ht="10.5">
      <c r="A213" s="30">
        <v>33</v>
      </c>
      <c r="B213" s="39" t="s">
        <v>89</v>
      </c>
      <c r="C213" s="34" t="s">
        <v>244</v>
      </c>
      <c r="D213" s="37">
        <v>0</v>
      </c>
      <c r="F213" s="24">
        <f>ROUND((F209+F211+F212),2)</f>
        <v>0</v>
      </c>
      <c r="G213" s="24"/>
      <c r="H213" s="24"/>
      <c r="I213" s="24"/>
      <c r="J213" s="40"/>
      <c r="K213" s="40"/>
      <c r="L213" s="24"/>
      <c r="N213" s="34" t="s">
        <v>279</v>
      </c>
    </row>
    <row r="214" spans="1:14" ht="10.5">
      <c r="A214" s="30">
        <v>34</v>
      </c>
      <c r="B214" s="39" t="s">
        <v>90</v>
      </c>
      <c r="C214" s="34" t="s">
        <v>243</v>
      </c>
      <c r="D214" s="37">
        <v>0</v>
      </c>
      <c r="F214" s="24">
        <f>ROUND(SUMIF(Определители!I6:I22,"=4",'Базовые цены с учетом расхода'!B6:B22),2)</f>
        <v>0</v>
      </c>
      <c r="G214" s="24">
        <f>ROUND(SUMIF(Определители!I6:I22,"=4",'Базовые цены с учетом расхода'!C6:C22),2)</f>
        <v>0</v>
      </c>
      <c r="H214" s="24">
        <f>ROUND(SUMIF(Определители!I6:I22,"=4",'Базовые цены с учетом расхода'!D6:D22),2)</f>
        <v>0</v>
      </c>
      <c r="I214" s="24">
        <f>ROUND(SUMIF(Определители!I6:I22,"=4",'Базовые цены с учетом расхода'!E6:E22),2)</f>
        <v>0</v>
      </c>
      <c r="J214" s="40">
        <f>ROUND(SUMIF(Определители!I6:I22,"=4",'Базовые цены с учетом расхода'!I6:I22),8)</f>
        <v>0</v>
      </c>
      <c r="K214" s="40">
        <f>ROUND(SUMIF(Определители!I6:I22,"=4",'Базовые цены с учетом расхода'!K6:K22),8)</f>
        <v>0</v>
      </c>
      <c r="L214" s="24">
        <f>ROUND(SUMIF(Определители!I6:I22,"=4",'Базовые цены с учетом расхода'!F6:F22),2)</f>
        <v>0</v>
      </c>
      <c r="N214" s="34" t="s">
        <v>280</v>
      </c>
    </row>
    <row r="215" spans="1:14" ht="10.5">
      <c r="A215" s="30">
        <v>35</v>
      </c>
      <c r="B215" s="39" t="s">
        <v>75</v>
      </c>
      <c r="C215" s="34" t="s">
        <v>243</v>
      </c>
      <c r="D215" s="37">
        <v>0</v>
      </c>
      <c r="F215" s="24"/>
      <c r="G215" s="24"/>
      <c r="H215" s="24"/>
      <c r="I215" s="24"/>
      <c r="J215" s="40"/>
      <c r="K215" s="40"/>
      <c r="L215" s="24"/>
      <c r="N215" s="34" t="s">
        <v>281</v>
      </c>
    </row>
    <row r="216" spans="1:14" ht="10.5">
      <c r="A216" s="30">
        <v>36</v>
      </c>
      <c r="B216" s="39" t="s">
        <v>91</v>
      </c>
      <c r="C216" s="34" t="s">
        <v>243</v>
      </c>
      <c r="D216" s="37">
        <v>0</v>
      </c>
      <c r="F216" s="24"/>
      <c r="G216" s="24"/>
      <c r="H216" s="24"/>
      <c r="I216" s="24"/>
      <c r="J216" s="40"/>
      <c r="K216" s="40"/>
      <c r="L216" s="24"/>
      <c r="N216" s="34" t="s">
        <v>282</v>
      </c>
    </row>
    <row r="217" spans="1:14" ht="10.5">
      <c r="A217" s="30">
        <v>37</v>
      </c>
      <c r="B217" s="39" t="s">
        <v>79</v>
      </c>
      <c r="C217" s="34" t="s">
        <v>243</v>
      </c>
      <c r="D217" s="37">
        <v>0</v>
      </c>
      <c r="F217" s="24">
        <f>ROUND(SUMIF(Определители!I6:I22,"=4",'Базовые цены с учетом расхода'!H6:H22),2)</f>
        <v>0</v>
      </c>
      <c r="G217" s="24"/>
      <c r="H217" s="24"/>
      <c r="I217" s="24"/>
      <c r="J217" s="40"/>
      <c r="K217" s="40"/>
      <c r="L217" s="24"/>
      <c r="N217" s="34" t="s">
        <v>283</v>
      </c>
    </row>
    <row r="218" spans="1:14" ht="10.5">
      <c r="A218" s="30">
        <v>38</v>
      </c>
      <c r="B218" s="39" t="s">
        <v>80</v>
      </c>
      <c r="C218" s="34" t="s">
        <v>243</v>
      </c>
      <c r="D218" s="37">
        <v>0</v>
      </c>
      <c r="F218" s="24">
        <f>ROUND(SUMIF(Определители!I6:I22,"=4",'Базовые цены с учетом расхода'!N6:N22),2)</f>
        <v>0</v>
      </c>
      <c r="G218" s="24"/>
      <c r="H218" s="24"/>
      <c r="I218" s="24"/>
      <c r="J218" s="40"/>
      <c r="K218" s="40"/>
      <c r="L218" s="24"/>
      <c r="N218" s="34" t="s">
        <v>284</v>
      </c>
    </row>
    <row r="219" spans="1:14" ht="10.5">
      <c r="A219" s="30">
        <v>39</v>
      </c>
      <c r="B219" s="39" t="s">
        <v>81</v>
      </c>
      <c r="C219" s="34" t="s">
        <v>243</v>
      </c>
      <c r="D219" s="37">
        <v>0</v>
      </c>
      <c r="F219" s="24">
        <f>ROUND(SUMIF(Определители!I6:I22,"=4",'Базовые цены с учетом расхода'!O6:O22),2)</f>
        <v>0</v>
      </c>
      <c r="G219" s="24"/>
      <c r="H219" s="24"/>
      <c r="I219" s="24"/>
      <c r="J219" s="40"/>
      <c r="K219" s="40"/>
      <c r="L219" s="24"/>
      <c r="N219" s="34" t="s">
        <v>285</v>
      </c>
    </row>
    <row r="220" spans="1:14" ht="10.5">
      <c r="A220" s="30">
        <v>40</v>
      </c>
      <c r="B220" s="39" t="s">
        <v>72</v>
      </c>
      <c r="C220" s="34" t="s">
        <v>243</v>
      </c>
      <c r="D220" s="37">
        <v>0</v>
      </c>
      <c r="F220" s="24">
        <f>ROUND(СУММПРОИЗВЕСЛИ(1,Определители!I6:I22," ",'Базовые цены с учетом расхода'!M6:M22,Начисления!I6:I22,0),2)</f>
        <v>0</v>
      </c>
      <c r="G220" s="24"/>
      <c r="H220" s="24"/>
      <c r="I220" s="24"/>
      <c r="J220" s="40"/>
      <c r="K220" s="40"/>
      <c r="L220" s="24"/>
      <c r="N220" s="34" t="s">
        <v>286</v>
      </c>
    </row>
    <row r="221" spans="1:14" ht="10.5">
      <c r="A221" s="30">
        <v>41</v>
      </c>
      <c r="B221" s="39" t="s">
        <v>92</v>
      </c>
      <c r="C221" s="34" t="s">
        <v>244</v>
      </c>
      <c r="D221" s="37">
        <v>0</v>
      </c>
      <c r="F221" s="24">
        <f>ROUND((F214+F218+F219),2)</f>
        <v>0</v>
      </c>
      <c r="G221" s="24"/>
      <c r="H221" s="24"/>
      <c r="I221" s="24"/>
      <c r="J221" s="40"/>
      <c r="K221" s="40"/>
      <c r="L221" s="24"/>
      <c r="N221" s="34" t="s">
        <v>287</v>
      </c>
    </row>
    <row r="222" spans="1:14" ht="10.5">
      <c r="A222" s="30">
        <v>42</v>
      </c>
      <c r="B222" s="39" t="s">
        <v>93</v>
      </c>
      <c r="C222" s="34" t="s">
        <v>243</v>
      </c>
      <c r="D222" s="37">
        <v>0</v>
      </c>
      <c r="F222" s="24">
        <f>ROUND(SUMIF(Определители!I6:I22,"=5",'Базовые цены с учетом расхода'!B6:B22),2)</f>
        <v>0</v>
      </c>
      <c r="G222" s="24">
        <f>ROUND(SUMIF(Определители!I6:I22,"=5",'Базовые цены с учетом расхода'!C6:C22),2)</f>
        <v>0</v>
      </c>
      <c r="H222" s="24">
        <f>ROUND(SUMIF(Определители!I6:I22,"=5",'Базовые цены с учетом расхода'!D6:D22),2)</f>
        <v>0</v>
      </c>
      <c r="I222" s="24">
        <f>ROUND(SUMIF(Определители!I6:I22,"=5",'Базовые цены с учетом расхода'!E6:E22),2)</f>
        <v>0</v>
      </c>
      <c r="J222" s="40">
        <f>ROUND(SUMIF(Определители!I6:I22,"=5",'Базовые цены с учетом расхода'!I6:I22),8)</f>
        <v>0</v>
      </c>
      <c r="K222" s="40">
        <f>ROUND(SUMIF(Определители!I6:I22,"=5",'Базовые цены с учетом расхода'!K6:K22),8)</f>
        <v>0</v>
      </c>
      <c r="L222" s="24">
        <f>ROUND(SUMIF(Определители!I6:I22,"=5",'Базовые цены с учетом расхода'!F6:F22),2)</f>
        <v>0</v>
      </c>
      <c r="N222" s="34" t="s">
        <v>288</v>
      </c>
    </row>
    <row r="223" spans="1:14" ht="10.5">
      <c r="A223" s="30">
        <v>43</v>
      </c>
      <c r="B223" s="39" t="s">
        <v>79</v>
      </c>
      <c r="C223" s="34" t="s">
        <v>243</v>
      </c>
      <c r="D223" s="37">
        <v>0</v>
      </c>
      <c r="F223" s="24">
        <f>ROUND(SUMIF(Определители!I6:I22,"=5",'Базовые цены с учетом расхода'!H6:H22),2)</f>
        <v>0</v>
      </c>
      <c r="G223" s="24"/>
      <c r="H223" s="24"/>
      <c r="I223" s="24"/>
      <c r="J223" s="40"/>
      <c r="K223" s="40"/>
      <c r="L223" s="24"/>
      <c r="N223" s="34" t="s">
        <v>289</v>
      </c>
    </row>
    <row r="224" spans="1:14" ht="10.5">
      <c r="A224" s="30">
        <v>44</v>
      </c>
      <c r="B224" s="39" t="s">
        <v>80</v>
      </c>
      <c r="C224" s="34" t="s">
        <v>243</v>
      </c>
      <c r="D224" s="37">
        <v>0</v>
      </c>
      <c r="F224" s="24">
        <f>ROUND(SUMIF(Определители!I6:I22,"=5",'Базовые цены с учетом расхода'!N6:N22),2)</f>
        <v>0</v>
      </c>
      <c r="G224" s="24"/>
      <c r="H224" s="24"/>
      <c r="I224" s="24"/>
      <c r="J224" s="40"/>
      <c r="K224" s="40"/>
      <c r="L224" s="24"/>
      <c r="N224" s="34" t="s">
        <v>290</v>
      </c>
    </row>
    <row r="225" spans="1:14" ht="10.5">
      <c r="A225" s="30">
        <v>45</v>
      </c>
      <c r="B225" s="39" t="s">
        <v>81</v>
      </c>
      <c r="C225" s="34" t="s">
        <v>243</v>
      </c>
      <c r="D225" s="37">
        <v>0</v>
      </c>
      <c r="F225" s="24">
        <f>ROUND(SUMIF(Определители!I6:I22,"=5",'Базовые цены с учетом расхода'!O6:O22),2)</f>
        <v>0</v>
      </c>
      <c r="G225" s="24"/>
      <c r="H225" s="24"/>
      <c r="I225" s="24"/>
      <c r="J225" s="40"/>
      <c r="K225" s="40"/>
      <c r="L225" s="24"/>
      <c r="N225" s="34" t="s">
        <v>291</v>
      </c>
    </row>
    <row r="226" spans="1:14" ht="10.5">
      <c r="A226" s="30">
        <v>46</v>
      </c>
      <c r="B226" s="39" t="s">
        <v>94</v>
      </c>
      <c r="C226" s="34" t="s">
        <v>244</v>
      </c>
      <c r="D226" s="37">
        <v>0</v>
      </c>
      <c r="F226" s="24">
        <f>ROUND((F222+F224+F225),2)</f>
        <v>0</v>
      </c>
      <c r="G226" s="24"/>
      <c r="H226" s="24"/>
      <c r="I226" s="24"/>
      <c r="J226" s="40"/>
      <c r="K226" s="40"/>
      <c r="L226" s="24"/>
      <c r="N226" s="34" t="s">
        <v>292</v>
      </c>
    </row>
    <row r="227" spans="1:14" ht="10.5">
      <c r="A227" s="30">
        <v>47</v>
      </c>
      <c r="B227" s="39" t="s">
        <v>95</v>
      </c>
      <c r="C227" s="34" t="s">
        <v>243</v>
      </c>
      <c r="D227" s="37">
        <v>0</v>
      </c>
      <c r="F227" s="24">
        <f>ROUND(SUMIF(Определители!I6:I22,"=6",'Базовые цены с учетом расхода'!B6:B22),2)</f>
        <v>0</v>
      </c>
      <c r="G227" s="24">
        <f>ROUND(SUMIF(Определители!I6:I22,"=6",'Базовые цены с учетом расхода'!C6:C22),2)</f>
        <v>0</v>
      </c>
      <c r="H227" s="24">
        <f>ROUND(SUMIF(Определители!I6:I22,"=6",'Базовые цены с учетом расхода'!D6:D22),2)</f>
        <v>0</v>
      </c>
      <c r="I227" s="24">
        <f>ROUND(SUMIF(Определители!I6:I22,"=6",'Базовые цены с учетом расхода'!E6:E22),2)</f>
        <v>0</v>
      </c>
      <c r="J227" s="40">
        <f>ROUND(SUMIF(Определители!I6:I22,"=6",'Базовые цены с учетом расхода'!I6:I22),8)</f>
        <v>0</v>
      </c>
      <c r="K227" s="40">
        <f>ROUND(SUMIF(Определители!I6:I22,"=6",'Базовые цены с учетом расхода'!K6:K22),8)</f>
        <v>0</v>
      </c>
      <c r="L227" s="24">
        <f>ROUND(SUMIF(Определители!I6:I22,"=6",'Базовые цены с учетом расхода'!F6:F22),2)</f>
        <v>0</v>
      </c>
      <c r="N227" s="34" t="s">
        <v>293</v>
      </c>
    </row>
    <row r="228" spans="1:14" ht="10.5">
      <c r="A228" s="30">
        <v>48</v>
      </c>
      <c r="B228" s="39" t="s">
        <v>79</v>
      </c>
      <c r="C228" s="34" t="s">
        <v>243</v>
      </c>
      <c r="D228" s="37">
        <v>0</v>
      </c>
      <c r="F228" s="24">
        <f>ROUND(SUMIF(Определители!I6:I22,"=6",'Базовые цены с учетом расхода'!H6:H22),2)</f>
        <v>0</v>
      </c>
      <c r="G228" s="24"/>
      <c r="H228" s="24"/>
      <c r="I228" s="24"/>
      <c r="J228" s="40"/>
      <c r="K228" s="40"/>
      <c r="L228" s="24"/>
      <c r="N228" s="34" t="s">
        <v>294</v>
      </c>
    </row>
    <row r="229" spans="1:14" ht="10.5">
      <c r="A229" s="30">
        <v>49</v>
      </c>
      <c r="B229" s="39" t="s">
        <v>80</v>
      </c>
      <c r="C229" s="34" t="s">
        <v>243</v>
      </c>
      <c r="D229" s="37">
        <v>0</v>
      </c>
      <c r="F229" s="24">
        <f>ROUND(SUMIF(Определители!I6:I22,"=6",'Базовые цены с учетом расхода'!N6:N22),2)</f>
        <v>0</v>
      </c>
      <c r="G229" s="24"/>
      <c r="H229" s="24"/>
      <c r="I229" s="24"/>
      <c r="J229" s="40"/>
      <c r="K229" s="40"/>
      <c r="L229" s="24"/>
      <c r="N229" s="34" t="s">
        <v>295</v>
      </c>
    </row>
    <row r="230" spans="1:14" ht="10.5">
      <c r="A230" s="30">
        <v>50</v>
      </c>
      <c r="B230" s="39" t="s">
        <v>81</v>
      </c>
      <c r="C230" s="34" t="s">
        <v>243</v>
      </c>
      <c r="D230" s="37">
        <v>0</v>
      </c>
      <c r="F230" s="24">
        <f>ROUND(SUMIF(Определители!I6:I22,"=6",'Базовые цены с учетом расхода'!O6:O22),2)</f>
        <v>0</v>
      </c>
      <c r="G230" s="24"/>
      <c r="H230" s="24"/>
      <c r="I230" s="24"/>
      <c r="J230" s="40"/>
      <c r="K230" s="40"/>
      <c r="L230" s="24"/>
      <c r="N230" s="34" t="s">
        <v>296</v>
      </c>
    </row>
    <row r="231" spans="1:14" ht="10.5">
      <c r="A231" s="30">
        <v>51</v>
      </c>
      <c r="B231" s="39" t="s">
        <v>96</v>
      </c>
      <c r="C231" s="34" t="s">
        <v>244</v>
      </c>
      <c r="D231" s="37">
        <v>0</v>
      </c>
      <c r="F231" s="24">
        <f>ROUND((F227+F229+F230),2)</f>
        <v>0</v>
      </c>
      <c r="G231" s="24"/>
      <c r="H231" s="24"/>
      <c r="I231" s="24"/>
      <c r="J231" s="40"/>
      <c r="K231" s="40"/>
      <c r="L231" s="24"/>
      <c r="N231" s="34" t="s">
        <v>297</v>
      </c>
    </row>
    <row r="232" spans="1:14" ht="10.5">
      <c r="A232" s="30">
        <v>52</v>
      </c>
      <c r="B232" s="39" t="s">
        <v>97</v>
      </c>
      <c r="C232" s="34" t="s">
        <v>243</v>
      </c>
      <c r="D232" s="37">
        <v>0</v>
      </c>
      <c r="F232" s="24">
        <f>ROUND(SUMIF(Определители!I6:I22,"=7",'Базовые цены с учетом расхода'!B6:B22),2)</f>
        <v>0</v>
      </c>
      <c r="G232" s="24">
        <f>ROUND(SUMIF(Определители!I6:I22,"=7",'Базовые цены с учетом расхода'!C6:C22),2)</f>
        <v>0</v>
      </c>
      <c r="H232" s="24">
        <f>ROUND(SUMIF(Определители!I6:I22,"=7",'Базовые цены с учетом расхода'!D6:D22),2)</f>
        <v>0</v>
      </c>
      <c r="I232" s="24">
        <f>ROUND(SUMIF(Определители!I6:I22,"=7",'Базовые цены с учетом расхода'!E6:E22),2)</f>
        <v>0</v>
      </c>
      <c r="J232" s="40">
        <f>ROUND(SUMIF(Определители!I6:I22,"=7",'Базовые цены с учетом расхода'!I6:I22),8)</f>
        <v>0</v>
      </c>
      <c r="K232" s="40">
        <f>ROUND(SUMIF(Определители!I6:I22,"=7",'Базовые цены с учетом расхода'!K6:K22),8)</f>
        <v>0</v>
      </c>
      <c r="L232" s="24">
        <f>ROUND(SUMIF(Определители!I6:I22,"=7",'Базовые цены с учетом расхода'!F6:F22),2)</f>
        <v>0</v>
      </c>
      <c r="N232" s="34" t="s">
        <v>298</v>
      </c>
    </row>
    <row r="233" spans="1:14" ht="10.5">
      <c r="A233" s="30">
        <v>53</v>
      </c>
      <c r="B233" s="39" t="s">
        <v>75</v>
      </c>
      <c r="C233" s="34" t="s">
        <v>243</v>
      </c>
      <c r="D233" s="37">
        <v>0</v>
      </c>
      <c r="F233" s="24"/>
      <c r="G233" s="24"/>
      <c r="H233" s="24"/>
      <c r="I233" s="24"/>
      <c r="J233" s="40"/>
      <c r="K233" s="40"/>
      <c r="L233" s="24"/>
      <c r="N233" s="34" t="s">
        <v>299</v>
      </c>
    </row>
    <row r="234" spans="1:14" ht="10.5">
      <c r="A234" s="30">
        <v>54</v>
      </c>
      <c r="B234" s="39" t="s">
        <v>98</v>
      </c>
      <c r="C234" s="34" t="s">
        <v>243</v>
      </c>
      <c r="D234" s="37">
        <v>0</v>
      </c>
      <c r="F234" s="24">
        <f>ROUND(SUMIF(Определители!G6:G22,"=1",'Базовые цены с учетом расхода'!F6:F22),2)</f>
        <v>392</v>
      </c>
      <c r="G234" s="24"/>
      <c r="H234" s="24"/>
      <c r="I234" s="24"/>
      <c r="J234" s="40"/>
      <c r="K234" s="40"/>
      <c r="L234" s="24"/>
      <c r="N234" s="34" t="s">
        <v>300</v>
      </c>
    </row>
    <row r="235" spans="1:14" ht="10.5">
      <c r="A235" s="30">
        <v>55</v>
      </c>
      <c r="B235" s="39" t="s">
        <v>79</v>
      </c>
      <c r="C235" s="34" t="s">
        <v>243</v>
      </c>
      <c r="D235" s="37">
        <v>0</v>
      </c>
      <c r="F235" s="24">
        <f>ROUND(SUMIF(Определители!I6:I22,"=7",'Базовые цены с учетом расхода'!H6:H22),2)</f>
        <v>0</v>
      </c>
      <c r="G235" s="24"/>
      <c r="H235" s="24"/>
      <c r="I235" s="24"/>
      <c r="J235" s="40"/>
      <c r="K235" s="40"/>
      <c r="L235" s="24"/>
      <c r="N235" s="34" t="s">
        <v>301</v>
      </c>
    </row>
    <row r="236" spans="1:14" ht="10.5">
      <c r="A236" s="30">
        <v>56</v>
      </c>
      <c r="B236" s="39" t="s">
        <v>99</v>
      </c>
      <c r="C236" s="34" t="s">
        <v>243</v>
      </c>
      <c r="D236" s="37">
        <v>0</v>
      </c>
      <c r="F236" s="24">
        <f>ROUND(SUMIF(Определители!I6:I22,"=7",'Базовые цены с учетом расхода'!N6:N22),2)</f>
        <v>0</v>
      </c>
      <c r="G236" s="24"/>
      <c r="H236" s="24"/>
      <c r="I236" s="24"/>
      <c r="J236" s="40"/>
      <c r="K236" s="40"/>
      <c r="L236" s="24"/>
      <c r="N236" s="34" t="s">
        <v>302</v>
      </c>
    </row>
    <row r="237" spans="1:14" ht="10.5">
      <c r="A237" s="30">
        <v>57</v>
      </c>
      <c r="B237" s="39" t="s">
        <v>81</v>
      </c>
      <c r="C237" s="34" t="s">
        <v>243</v>
      </c>
      <c r="D237" s="37">
        <v>0</v>
      </c>
      <c r="F237" s="24">
        <f>ROUND(SUMIF(Определители!I6:I22,"=7",'Базовые цены с учетом расхода'!O6:O22),2)</f>
        <v>0</v>
      </c>
      <c r="G237" s="24"/>
      <c r="H237" s="24"/>
      <c r="I237" s="24"/>
      <c r="J237" s="40"/>
      <c r="K237" s="40"/>
      <c r="L237" s="24"/>
      <c r="N237" s="34" t="s">
        <v>303</v>
      </c>
    </row>
    <row r="238" spans="1:14" ht="10.5">
      <c r="A238" s="30">
        <v>58</v>
      </c>
      <c r="B238" s="39" t="s">
        <v>100</v>
      </c>
      <c r="C238" s="34" t="s">
        <v>244</v>
      </c>
      <c r="D238" s="37">
        <v>0</v>
      </c>
      <c r="F238" s="24">
        <f>ROUND((F232+F236+F237),2)</f>
        <v>0</v>
      </c>
      <c r="G238" s="24"/>
      <c r="H238" s="24"/>
      <c r="I238" s="24"/>
      <c r="J238" s="40"/>
      <c r="K238" s="40"/>
      <c r="L238" s="24"/>
      <c r="N238" s="34" t="s">
        <v>304</v>
      </c>
    </row>
    <row r="239" spans="1:14" ht="10.5">
      <c r="A239" s="30">
        <v>59</v>
      </c>
      <c r="B239" s="39" t="s">
        <v>101</v>
      </c>
      <c r="C239" s="34" t="s">
        <v>243</v>
      </c>
      <c r="D239" s="37">
        <v>0</v>
      </c>
      <c r="F239" s="24">
        <f>ROUND(SUMIF(Определители!I6:I22,"=9",'Базовые цены с учетом расхода'!B6:B22),2)</f>
        <v>0</v>
      </c>
      <c r="G239" s="24">
        <f>ROUND(SUMIF(Определители!I6:I22,"=9",'Базовые цены с учетом расхода'!C6:C22),2)</f>
        <v>0</v>
      </c>
      <c r="H239" s="24">
        <f>ROUND(SUMIF(Определители!I6:I22,"=9",'Базовые цены с учетом расхода'!D6:D22),2)</f>
        <v>0</v>
      </c>
      <c r="I239" s="24">
        <f>ROUND(SUMIF(Определители!I6:I22,"=9",'Базовые цены с учетом расхода'!E6:E22),2)</f>
        <v>0</v>
      </c>
      <c r="J239" s="40">
        <f>ROUND(SUMIF(Определители!I6:I22,"=9",'Базовые цены с учетом расхода'!I6:I22),8)</f>
        <v>0</v>
      </c>
      <c r="K239" s="40">
        <f>ROUND(SUMIF(Определители!I6:I22,"=9",'Базовые цены с учетом расхода'!K6:K22),8)</f>
        <v>0</v>
      </c>
      <c r="L239" s="24">
        <f>ROUND(SUMIF(Определители!I6:I22,"=9",'Базовые цены с учетом расхода'!F6:F22),2)</f>
        <v>0</v>
      </c>
      <c r="N239" s="34" t="s">
        <v>305</v>
      </c>
    </row>
    <row r="240" spans="1:14" ht="10.5">
      <c r="A240" s="30">
        <v>60</v>
      </c>
      <c r="B240" s="39" t="s">
        <v>99</v>
      </c>
      <c r="C240" s="34" t="s">
        <v>243</v>
      </c>
      <c r="D240" s="37">
        <v>0</v>
      </c>
      <c r="F240" s="24">
        <f>ROUND(SUMIF(Определители!I6:I22,"=9",'Базовые цены с учетом расхода'!N6:N22),2)</f>
        <v>0</v>
      </c>
      <c r="G240" s="24"/>
      <c r="H240" s="24"/>
      <c r="I240" s="24"/>
      <c r="J240" s="40"/>
      <c r="K240" s="40"/>
      <c r="L240" s="24"/>
      <c r="N240" s="34" t="s">
        <v>306</v>
      </c>
    </row>
    <row r="241" spans="1:14" ht="10.5">
      <c r="A241" s="30">
        <v>61</v>
      </c>
      <c r="B241" s="39" t="s">
        <v>81</v>
      </c>
      <c r="C241" s="34" t="s">
        <v>243</v>
      </c>
      <c r="D241" s="37">
        <v>0</v>
      </c>
      <c r="F241" s="24">
        <f>ROUND(SUMIF(Определители!I6:I22,"=9",'Базовые цены с учетом расхода'!O6:O22),2)</f>
        <v>0</v>
      </c>
      <c r="G241" s="24"/>
      <c r="H241" s="24"/>
      <c r="I241" s="24"/>
      <c r="J241" s="40"/>
      <c r="K241" s="40"/>
      <c r="L241" s="24"/>
      <c r="N241" s="34" t="s">
        <v>307</v>
      </c>
    </row>
    <row r="242" spans="1:14" ht="10.5">
      <c r="A242" s="30">
        <v>62</v>
      </c>
      <c r="B242" s="39" t="s">
        <v>102</v>
      </c>
      <c r="C242" s="34" t="s">
        <v>244</v>
      </c>
      <c r="D242" s="37">
        <v>0</v>
      </c>
      <c r="F242" s="24">
        <f>ROUND((F239+F240+F241),2)</f>
        <v>0</v>
      </c>
      <c r="G242" s="24"/>
      <c r="H242" s="24"/>
      <c r="I242" s="24"/>
      <c r="J242" s="40"/>
      <c r="K242" s="40"/>
      <c r="L242" s="24"/>
      <c r="N242" s="34" t="s">
        <v>308</v>
      </c>
    </row>
    <row r="243" spans="1:14" ht="10.5">
      <c r="A243" s="30">
        <v>63</v>
      </c>
      <c r="B243" s="39" t="s">
        <v>103</v>
      </c>
      <c r="C243" s="34" t="s">
        <v>243</v>
      </c>
      <c r="D243" s="37">
        <v>0</v>
      </c>
      <c r="F243" s="24">
        <f>ROUND(SUMIF(Определители!I6:I22,"=:",'Базовые цены с учетом расхода'!B6:B22),2)</f>
        <v>0</v>
      </c>
      <c r="G243" s="24">
        <f>ROUND(SUMIF(Определители!I6:I22,"=:",'Базовые цены с учетом расхода'!C6:C22),2)</f>
        <v>0</v>
      </c>
      <c r="H243" s="24">
        <f>ROUND(SUMIF(Определители!I6:I22,"=:",'Базовые цены с учетом расхода'!D6:D22),2)</f>
        <v>0</v>
      </c>
      <c r="I243" s="24">
        <f>ROUND(SUMIF(Определители!I6:I22,"=:",'Базовые цены с учетом расхода'!E6:E22),2)</f>
        <v>0</v>
      </c>
      <c r="J243" s="40">
        <f>ROUND(SUMIF(Определители!I6:I22,"=:",'Базовые цены с учетом расхода'!I6:I22),8)</f>
        <v>0</v>
      </c>
      <c r="K243" s="40">
        <f>ROUND(SUMIF(Определители!I6:I22,"=:",'Базовые цены с учетом расхода'!K6:K22),8)</f>
        <v>0</v>
      </c>
      <c r="L243" s="24">
        <f>ROUND(SUMIF(Определители!I6:I22,"=:",'Базовые цены с учетом расхода'!F6:F22),2)</f>
        <v>0</v>
      </c>
      <c r="N243" s="34" t="s">
        <v>309</v>
      </c>
    </row>
    <row r="244" spans="1:14" ht="10.5">
      <c r="A244" s="30">
        <v>64</v>
      </c>
      <c r="B244" s="39" t="s">
        <v>79</v>
      </c>
      <c r="C244" s="34" t="s">
        <v>243</v>
      </c>
      <c r="D244" s="37">
        <v>0</v>
      </c>
      <c r="F244" s="24">
        <f>ROUND(SUMIF(Определители!I6:I22,"=:",'Базовые цены с учетом расхода'!H6:H22),2)</f>
        <v>0</v>
      </c>
      <c r="G244" s="24"/>
      <c r="H244" s="24"/>
      <c r="I244" s="24"/>
      <c r="J244" s="40"/>
      <c r="K244" s="40"/>
      <c r="L244" s="24"/>
      <c r="N244" s="34" t="s">
        <v>310</v>
      </c>
    </row>
    <row r="245" spans="1:14" ht="10.5">
      <c r="A245" s="30">
        <v>65</v>
      </c>
      <c r="B245" s="39" t="s">
        <v>99</v>
      </c>
      <c r="C245" s="34" t="s">
        <v>243</v>
      </c>
      <c r="D245" s="37">
        <v>0</v>
      </c>
      <c r="F245" s="24">
        <f>ROUND(SUMIF(Определители!I6:I22,"=:",'Базовые цены с учетом расхода'!N6:N22),2)</f>
        <v>0</v>
      </c>
      <c r="G245" s="24"/>
      <c r="H245" s="24"/>
      <c r="I245" s="24"/>
      <c r="J245" s="40"/>
      <c r="K245" s="40"/>
      <c r="L245" s="24"/>
      <c r="N245" s="34" t="s">
        <v>311</v>
      </c>
    </row>
    <row r="246" spans="1:14" ht="10.5">
      <c r="A246" s="30">
        <v>66</v>
      </c>
      <c r="B246" s="39" t="s">
        <v>81</v>
      </c>
      <c r="C246" s="34" t="s">
        <v>243</v>
      </c>
      <c r="D246" s="37">
        <v>0</v>
      </c>
      <c r="F246" s="24">
        <f>ROUND(SUMIF(Определители!I6:I22,"=:",'Базовые цены с учетом расхода'!O6:O22),2)</f>
        <v>0</v>
      </c>
      <c r="G246" s="24"/>
      <c r="H246" s="24"/>
      <c r="I246" s="24"/>
      <c r="J246" s="40"/>
      <c r="K246" s="40"/>
      <c r="L246" s="24"/>
      <c r="N246" s="34" t="s">
        <v>312</v>
      </c>
    </row>
    <row r="247" spans="1:14" ht="10.5">
      <c r="A247" s="30">
        <v>67</v>
      </c>
      <c r="B247" s="39" t="s">
        <v>104</v>
      </c>
      <c r="C247" s="34" t="s">
        <v>244</v>
      </c>
      <c r="D247" s="37">
        <v>0</v>
      </c>
      <c r="F247" s="24">
        <f>ROUND((F243+F245+F246),2)</f>
        <v>0</v>
      </c>
      <c r="G247" s="24"/>
      <c r="H247" s="24"/>
      <c r="I247" s="24"/>
      <c r="J247" s="40"/>
      <c r="K247" s="40"/>
      <c r="L247" s="24"/>
      <c r="N247" s="34" t="s">
        <v>313</v>
      </c>
    </row>
    <row r="248" spans="1:14" ht="10.5">
      <c r="A248" s="30">
        <v>68</v>
      </c>
      <c r="B248" s="39" t="s">
        <v>105</v>
      </c>
      <c r="C248" s="34" t="s">
        <v>243</v>
      </c>
      <c r="D248" s="37">
        <v>0</v>
      </c>
      <c r="F248" s="24">
        <f>ROUND(SUMIF(Определители!I6:I22,"=8",'Базовые цены с учетом расхода'!B6:B22),2)</f>
        <v>0</v>
      </c>
      <c r="G248" s="24">
        <f>ROUND(SUMIF(Определители!I6:I22,"=8",'Базовые цены с учетом расхода'!C6:C22),2)</f>
        <v>0</v>
      </c>
      <c r="H248" s="24">
        <f>ROUND(SUMIF(Определители!I6:I22,"=8",'Базовые цены с учетом расхода'!D6:D22),2)</f>
        <v>0</v>
      </c>
      <c r="I248" s="24">
        <f>ROUND(SUMIF(Определители!I6:I22,"=8",'Базовые цены с учетом расхода'!E6:E22),2)</f>
        <v>0</v>
      </c>
      <c r="J248" s="40">
        <f>ROUND(SUMIF(Определители!I6:I22,"=8",'Базовые цены с учетом расхода'!I6:I22),8)</f>
        <v>0</v>
      </c>
      <c r="K248" s="40">
        <f>ROUND(SUMIF(Определители!I6:I22,"=8",'Базовые цены с учетом расхода'!K6:K22),8)</f>
        <v>0</v>
      </c>
      <c r="L248" s="24">
        <f>ROUND(SUMIF(Определители!I6:I22,"=8",'Базовые цены с учетом расхода'!F6:F22),2)</f>
        <v>0</v>
      </c>
      <c r="N248" s="34" t="s">
        <v>314</v>
      </c>
    </row>
    <row r="249" spans="1:14" ht="10.5">
      <c r="A249" s="30">
        <v>69</v>
      </c>
      <c r="B249" s="39" t="s">
        <v>79</v>
      </c>
      <c r="C249" s="34" t="s">
        <v>243</v>
      </c>
      <c r="D249" s="37">
        <v>0</v>
      </c>
      <c r="F249" s="24">
        <f>ROUND(SUMIF(Определители!I6:I22,"=8",'Базовые цены с учетом расхода'!H6:H22),2)</f>
        <v>0</v>
      </c>
      <c r="G249" s="24"/>
      <c r="H249" s="24"/>
      <c r="I249" s="24"/>
      <c r="J249" s="40"/>
      <c r="K249" s="40"/>
      <c r="L249" s="24"/>
      <c r="N249" s="34" t="s">
        <v>315</v>
      </c>
    </row>
    <row r="250" spans="1:14" ht="10.5">
      <c r="A250" s="30">
        <v>70</v>
      </c>
      <c r="B250" s="39" t="s">
        <v>137</v>
      </c>
      <c r="C250" s="34" t="s">
        <v>244</v>
      </c>
      <c r="D250" s="37">
        <v>0</v>
      </c>
      <c r="F250" s="24">
        <f>ROUND((F191+F201+F208+F213+F221+F226+F231+F238+F242+F247+F248),2)</f>
        <v>22143.6</v>
      </c>
      <c r="G250" s="24">
        <f>ROUND((G191+G201+G208+G213+G221+G226+G231+G238+G242+G247+G248),2)</f>
        <v>0</v>
      </c>
      <c r="H250" s="24">
        <f>ROUND((H191+H201+H208+H213+H221+H226+H231+H238+H242+H247+H248),2)</f>
        <v>0</v>
      </c>
      <c r="I250" s="24">
        <f>ROUND((I191+I201+I208+I213+I221+I226+I231+I238+I242+I247+I248),2)</f>
        <v>0</v>
      </c>
      <c r="J250" s="40">
        <f>ROUND((J191+J201+J208+J213+J221+J226+J231+J238+J242+J247+J248),8)</f>
        <v>0</v>
      </c>
      <c r="K250" s="40">
        <f>ROUND((K191+K201+K208+K213+K221+K226+K231+K238+K242+K247+K248),8)</f>
        <v>0</v>
      </c>
      <c r="L250" s="24">
        <f>ROUND((L191+L201+L208+L213+L221+L226+L231+L238+L242+L247+L248),2)</f>
        <v>0</v>
      </c>
      <c r="N250" s="34" t="s">
        <v>316</v>
      </c>
    </row>
    <row r="251" spans="1:14" ht="10.5">
      <c r="A251" s="30">
        <v>71</v>
      </c>
      <c r="B251" s="39" t="s">
        <v>107</v>
      </c>
      <c r="C251" s="34" t="s">
        <v>244</v>
      </c>
      <c r="D251" s="37">
        <v>0</v>
      </c>
      <c r="F251" s="24">
        <f>ROUND((F197+F205+F210+F217+F223+F228+F235+F244+F249),2)</f>
        <v>0</v>
      </c>
      <c r="G251" s="24"/>
      <c r="H251" s="24"/>
      <c r="I251" s="24"/>
      <c r="J251" s="40"/>
      <c r="K251" s="40"/>
      <c r="L251" s="24"/>
      <c r="N251" s="34" t="s">
        <v>317</v>
      </c>
    </row>
    <row r="252" spans="1:14" ht="10.5">
      <c r="A252" s="30">
        <v>72</v>
      </c>
      <c r="B252" s="39" t="s">
        <v>108</v>
      </c>
      <c r="C252" s="34" t="s">
        <v>244</v>
      </c>
      <c r="D252" s="37">
        <v>0</v>
      </c>
      <c r="F252" s="24">
        <f>ROUND((F198+F206+F211+F218+F224+F229+F236+F240+F245),2)</f>
        <v>2769.77</v>
      </c>
      <c r="G252" s="24"/>
      <c r="H252" s="24"/>
      <c r="I252" s="24"/>
      <c r="J252" s="40"/>
      <c r="K252" s="40"/>
      <c r="L252" s="24"/>
      <c r="N252" s="34" t="s">
        <v>318</v>
      </c>
    </row>
    <row r="253" spans="1:14" ht="10.5">
      <c r="A253" s="30">
        <v>73</v>
      </c>
      <c r="B253" s="39" t="s">
        <v>109</v>
      </c>
      <c r="C253" s="34" t="s">
        <v>244</v>
      </c>
      <c r="D253" s="37">
        <v>0</v>
      </c>
      <c r="F253" s="24">
        <f>ROUND((F199+F207+F212+F219+F225+F230+F237+F241+F246),2)</f>
        <v>1522.17</v>
      </c>
      <c r="G253" s="24"/>
      <c r="H253" s="24"/>
      <c r="I253" s="24"/>
      <c r="J253" s="40"/>
      <c r="K253" s="40"/>
      <c r="L253" s="24"/>
      <c r="N253" s="34" t="s">
        <v>319</v>
      </c>
    </row>
    <row r="254" spans="1:14" ht="10.5">
      <c r="A254" s="30">
        <v>74</v>
      </c>
      <c r="B254" s="39" t="s">
        <v>138</v>
      </c>
      <c r="C254" s="34" t="s">
        <v>245</v>
      </c>
      <c r="D254" s="37">
        <v>3.74</v>
      </c>
      <c r="F254" s="24">
        <f>ROUND((F250)*D254,2)</f>
        <v>82817.06</v>
      </c>
      <c r="G254" s="24"/>
      <c r="H254" s="24"/>
      <c r="I254" s="24"/>
      <c r="J254" s="40"/>
      <c r="K254" s="40"/>
      <c r="L254" s="24"/>
      <c r="N254" s="34" t="s">
        <v>320</v>
      </c>
    </row>
    <row r="255" spans="1:14" ht="10.5">
      <c r="A255" s="30">
        <v>75</v>
      </c>
      <c r="B255" s="39" t="s">
        <v>111</v>
      </c>
      <c r="C255" s="34" t="s">
        <v>246</v>
      </c>
      <c r="D255" s="37">
        <v>18</v>
      </c>
      <c r="F255" s="24">
        <f>ROUND((F254)*D255/100,2)</f>
        <v>14907.07</v>
      </c>
      <c r="G255" s="24"/>
      <c r="H255" s="24"/>
      <c r="I255" s="24"/>
      <c r="J255" s="40"/>
      <c r="K255" s="40"/>
      <c r="L255" s="24"/>
      <c r="N255" s="34" t="s">
        <v>321</v>
      </c>
    </row>
    <row r="256" spans="1:14" ht="10.5">
      <c r="A256" s="30">
        <v>76</v>
      </c>
      <c r="B256" s="39" t="s">
        <v>112</v>
      </c>
      <c r="C256" s="34" t="s">
        <v>247</v>
      </c>
      <c r="D256" s="37">
        <v>0</v>
      </c>
      <c r="F256" s="24">
        <f>ROUND((F254+F255),2)</f>
        <v>97724.13</v>
      </c>
      <c r="G256" s="24"/>
      <c r="H256" s="24"/>
      <c r="I256" s="24"/>
      <c r="J256" s="40"/>
      <c r="K256" s="40"/>
      <c r="L256" s="24"/>
      <c r="N256" s="34" t="s">
        <v>322</v>
      </c>
    </row>
    <row r="257" spans="1:14" ht="10.5">
      <c r="A257" s="30">
        <v>77</v>
      </c>
      <c r="B257" s="39" t="s">
        <v>113</v>
      </c>
      <c r="C257" s="34" t="s">
        <v>248</v>
      </c>
      <c r="D257" s="37">
        <v>0</v>
      </c>
      <c r="F257" s="24"/>
      <c r="G257" s="24"/>
      <c r="H257" s="24"/>
      <c r="I257" s="24"/>
      <c r="J257" s="40"/>
      <c r="K257" s="40"/>
      <c r="L257" s="24">
        <f>ROUND(SUM('Базовые цены с учетом расхода'!X6:X22),2)</f>
        <v>0</v>
      </c>
      <c r="N257" s="34" t="s">
        <v>323</v>
      </c>
    </row>
    <row r="258" spans="1:14" ht="10.5">
      <c r="A258" s="30">
        <v>78</v>
      </c>
      <c r="B258" s="39" t="s">
        <v>114</v>
      </c>
      <c r="C258" s="34" t="s">
        <v>248</v>
      </c>
      <c r="D258" s="37">
        <v>0</v>
      </c>
      <c r="F258" s="24">
        <f>ROUND(SUM('Базовые цены с учетом расхода'!C6:C22),2)</f>
        <v>1176.53</v>
      </c>
      <c r="G258" s="24"/>
      <c r="H258" s="24"/>
      <c r="I258" s="24"/>
      <c r="J258" s="40"/>
      <c r="K258" s="40"/>
      <c r="L258" s="24"/>
      <c r="N258" s="34" t="s">
        <v>324</v>
      </c>
    </row>
    <row r="259" spans="1:14" ht="10.5">
      <c r="A259" s="30">
        <v>79</v>
      </c>
      <c r="B259" s="39" t="s">
        <v>115</v>
      </c>
      <c r="C259" s="34" t="s">
        <v>248</v>
      </c>
      <c r="D259" s="37">
        <v>0</v>
      </c>
      <c r="F259" s="24">
        <f>ROUND(SUM('Базовые цены с учетом расхода'!E6:E22),2)</f>
        <v>1914.5</v>
      </c>
      <c r="G259" s="24"/>
      <c r="H259" s="24"/>
      <c r="I259" s="24"/>
      <c r="J259" s="40"/>
      <c r="K259" s="40"/>
      <c r="L259" s="24"/>
      <c r="N259" s="34" t="s">
        <v>325</v>
      </c>
    </row>
    <row r="260" spans="1:14" ht="10.5">
      <c r="A260" s="30">
        <v>80</v>
      </c>
      <c r="B260" s="39" t="s">
        <v>116</v>
      </c>
      <c r="C260" s="34" t="s">
        <v>247</v>
      </c>
      <c r="D260" s="37">
        <v>0</v>
      </c>
      <c r="F260" s="24">
        <f>ROUND((F258+F259),2)</f>
        <v>3091.03</v>
      </c>
      <c r="G260" s="24"/>
      <c r="H260" s="24"/>
      <c r="I260" s="24"/>
      <c r="J260" s="40"/>
      <c r="K260" s="40"/>
      <c r="L260" s="24"/>
      <c r="N260" s="34" t="s">
        <v>326</v>
      </c>
    </row>
    <row r="261" spans="1:14" ht="10.5">
      <c r="A261" s="30">
        <v>81</v>
      </c>
      <c r="B261" s="39" t="s">
        <v>117</v>
      </c>
      <c r="C261" s="34" t="s">
        <v>248</v>
      </c>
      <c r="D261" s="37">
        <v>0</v>
      </c>
      <c r="F261" s="24"/>
      <c r="G261" s="24"/>
      <c r="H261" s="24"/>
      <c r="I261" s="24"/>
      <c r="J261" s="40">
        <f>ROUND(SUM('Базовые цены с учетом расхода'!I6:I22),8)</f>
        <v>110.7401695</v>
      </c>
      <c r="K261" s="40"/>
      <c r="L261" s="24"/>
      <c r="N261" s="34" t="s">
        <v>327</v>
      </c>
    </row>
    <row r="262" spans="1:14" ht="10.5">
      <c r="A262" s="30">
        <v>82</v>
      </c>
      <c r="B262" s="39" t="s">
        <v>118</v>
      </c>
      <c r="C262" s="34" t="s">
        <v>248</v>
      </c>
      <c r="D262" s="37">
        <v>0</v>
      </c>
      <c r="F262" s="24"/>
      <c r="G262" s="24"/>
      <c r="H262" s="24"/>
      <c r="I262" s="24"/>
      <c r="J262" s="40">
        <f>ROUND(SUM('Базовые цены с учетом расхода'!K6:K22),8)</f>
        <v>140.936531</v>
      </c>
      <c r="K262" s="40"/>
      <c r="L262" s="24"/>
      <c r="N262" s="34" t="s">
        <v>328</v>
      </c>
    </row>
    <row r="263" spans="1:14" ht="10.5">
      <c r="A263" s="30">
        <v>83</v>
      </c>
      <c r="B263" s="39" t="s">
        <v>119</v>
      </c>
      <c r="C263" s="34" t="s">
        <v>247</v>
      </c>
      <c r="D263" s="37">
        <v>0</v>
      </c>
      <c r="F263" s="24"/>
      <c r="G263" s="24"/>
      <c r="H263" s="24"/>
      <c r="I263" s="24"/>
      <c r="J263" s="40">
        <f>ROUND((J261+J262),8)</f>
        <v>251.6767005</v>
      </c>
      <c r="K263" s="40"/>
      <c r="L263" s="24"/>
      <c r="N263" s="34" t="s">
        <v>329</v>
      </c>
    </row>
  </sheetData>
  <mergeCells count="6">
    <mergeCell ref="B7:J8"/>
    <mergeCell ref="B94:J9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2011-01-22T11:37:49Z</dcterms:created>
  <dcterms:modified xsi:type="dcterms:W3CDTF">2011-01-22T11:37:50Z</dcterms:modified>
  <cp:category/>
  <cp:version/>
  <cp:contentType/>
  <cp:contentStatus/>
</cp:coreProperties>
</file>