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<sst xmlns="http://schemas.openxmlformats.org/spreadsheetml/2006/main" count="650" uniqueCount="311">
  <si>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</si>
  <si>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</si>
  <si>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</si>
  <si>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</si>
  <si>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</si>
  <si>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</si>
  <si>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</si>
  <si>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этажей.</t>
  </si>
  <si>
    <t>ЛОКАЛЬНАЯ СМЕТА № 1</t>
  </si>
  <si>
    <t>на установку металлического ограждения на газон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</si>
  <si>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</si>
  <si>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</si>
  <si>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</si>
  <si>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</si>
  <si>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</si>
  <si>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</si>
  <si>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</si>
  <si>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</si>
  <si>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</si>
  <si>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</si>
  <si>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</si>
  <si>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</si>
  <si>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</si>
  <si>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</si>
  <si>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</si>
  <si>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</si>
  <si>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</si>
  <si>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</si>
  <si>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</si>
  <si>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</si>
  <si>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</si>
  <si>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Е09-03-013-1
Монтаж металлоконструкций ограждения, т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</si>
  <si>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</si>
  <si>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</si>
  <si>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</si>
  <si>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</si>
  <si>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</si>
  <si>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</si>
  <si>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</si>
  <si>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</si>
  <si>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</si>
  <si>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</si>
  <si>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</si>
  <si>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</si>
  <si>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</si>
  <si>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</si>
  <si>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</si>
  <si>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</si>
  <si>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</si>
  <si>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С201-9006-365
Различные конструкции, не предусмотренные в основных разделах. ГОСТ 23118-99. Из круглых труб и гнутосварных профилей. Масса отправочной марки, т: до 0,1, т</t>
  </si>
  <si>
    <t>3.</t>
  </si>
  <si>
    <t>Е01-02-058-5
Копание ям вручную без креплений для стоек и столбов с откосами глубиной до 1,5 м группа грунтов: 1, 100 м3</t>
  </si>
  <si>
    <t>4.</t>
  </si>
  <si>
    <t>Е06-01-001-13
Устройство фундаментов-столбов: бетонных В 7,5 (М100 фракции более 40), м3</t>
  </si>
  <si>
    <t>5.</t>
  </si>
  <si>
    <t>Е15-04-030-4
Масляная окраска металлических поверхностей: решеток, переплетов, труб диаметром менее 50 мм и т.п., за 2 раза, 100 м2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</si>
  <si>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</si>
  <si>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</si>
  <si>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</si>
  <si>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</si>
  <si>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</si>
  <si>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</si>
  <si>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</si>
  <si>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</si>
  <si>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</si>
  <si>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</si>
  <si>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</si>
  <si>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</si>
  <si>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</si>
  <si>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</si>
  <si>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</si>
  <si>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</si>
  <si>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</si>
  <si>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</si>
  <si>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</si>
  <si>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</si>
  <si>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</si>
  <si>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</si>
  <si>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(%=80 - по стр. 3; %=95 - по стр. 4, 5)</t>
  </si>
  <si>
    <t>.   СМЕТНАЯ ПРИБЫЛЬ - (%=38 - по стр. 3; %=55 - по стр. 4; %=47 - по стр. 5)</t>
  </si>
  <si>
    <t>ВСЕГО, СТОИМОСТЬ ОБЩЕСТРОИТЕЛЬНЫХ РАБОТ -</t>
  </si>
  <si>
    <t>СТОИМОСТЬ МЕТАЛЛОМОНТАЖНЫХ РАБОТ -</t>
  </si>
  <si>
    <t>.   НАКЛАДНЫЕ РАСХОДЫ - (%=81 - по стр. 1)</t>
  </si>
  <si>
    <t>.   СМЕТНАЯ ПРИБЫЛЬ - (%=72 - по стр. 1)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</si>
  <si>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</si>
  <si>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</si>
  <si>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</si>
  <si>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</si>
  <si>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</si>
  <si>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</si>
  <si>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</si>
  <si>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</si>
  <si>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</si>
  <si>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</si>
  <si>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</si>
  <si>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</si>
  <si>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</si>
  <si>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</si>
  <si>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</si>
  <si>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</si>
  <si>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</si>
  <si>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</si>
  <si>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</si>
  <si>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</si>
  <si>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</si>
  <si>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</si>
  <si>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</si>
  <si>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</si>
  <si>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</si>
  <si>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</si>
  <si>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</si>
  <si>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</si>
  <si>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</si>
  <si>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</si>
  <si>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</si>
  <si>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</si>
  <si>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</si>
  <si>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</si>
  <si>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</si>
  <si>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</si>
  <si>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</si>
  <si>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</si>
  <si>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</si>
  <si>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</si>
  <si>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</si>
  <si>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</si>
  <si>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</si>
  <si>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</si>
  <si>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</si>
  <si>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</si>
  <si>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</si>
  <si>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</si>
  <si>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</si>
  <si>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</si>
  <si>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</si>
  <si>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</si>
  <si>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</si>
  <si>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</si>
  <si>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</si>
  <si>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</si>
  <si>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</si>
  <si>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</si>
  <si>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</si>
  <si>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</si>
  <si>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</si>
  <si>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781/09 * 781/09 * 1 &gt;</t>
  </si>
  <si>
    <t xml:space="preserve">          установку металлического ограждения на газон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</si>
  <si>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</si>
  <si>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</si>
  <si>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</si>
  <si>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</si>
  <si>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</si>
  <si>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</si>
  <si>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</si>
  <si>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</si>
  <si>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</si>
  <si>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</si>
  <si>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</si>
  <si>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</si>
  <si>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</si>
  <si>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</si>
  <si>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</si>
  <si>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</si>
  <si>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</si>
  <si>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</si>
  <si>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</si>
  <si>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</si>
  <si>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</si>
  <si>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</si>
  <si>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</si>
  <si>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</si>
  <si>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</si>
  <si>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</si>
  <si>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</si>
  <si>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</si>
  <si>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</si>
  <si>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</si>
  <si>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</si>
  <si>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</si>
  <si>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</si>
  <si>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</si>
  <si>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</si>
  <si>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</si>
  <si>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</si>
  <si>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</si>
  <si>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</si>
  <si>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</si>
  <si>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</si>
  <si>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</si>
  <si>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</si>
  <si>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</si>
  <si>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</si>
  <si>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</si>
  <si>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</si>
  <si>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</si>
  <si>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</si>
  <si>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</si>
  <si>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</si>
  <si>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</si>
  <si>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</si>
  <si>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</si>
  <si>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</si>
  <si>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</si>
  <si>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</si>
  <si>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3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</si>
  <si>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</si>
  <si>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</si>
  <si>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</si>
  <si>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</si>
  <si>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</si>
  <si>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</si>
  <si>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</si>
  <si>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</si>
  <si>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</si>
  <si>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</si>
  <si>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</si>
  <si>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</si>
  <si>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</si>
  <si>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</si>
  <si>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</si>
  <si>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</si>
  <si>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</si>
  <si>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</si>
  <si>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</si>
  <si>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</si>
  <si>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</si>
  <si>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</si>
  <si>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</si>
  <si>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</si>
  <si>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</si>
  <si>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</si>
  <si>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</si>
  <si>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</si>
  <si>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</si>
  <si>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</si>
  <si>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</si>
  <si>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</si>
  <si>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</si>
  <si>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</si>
  <si>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</si>
  <si>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</si>
  <si>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</si>
  <si>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</si>
  <si>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</si>
  <si>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</si>
  <si>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</si>
  <si>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</si>
  <si>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</si>
  <si>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</si>
  <si>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</si>
  <si>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</si>
  <si>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</si>
  <si>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</si>
  <si>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</si>
  <si>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</si>
  <si>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</si>
  <si>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</si>
  <si>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</si>
  <si>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</si>
  <si>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</si>
  <si>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</si>
  <si>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</si>
  <si>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</si>
  <si>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</si>
  <si>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</si>
  <si>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</si>
  <si>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</si>
  <si>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</si>
  <si>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</si>
  <si>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</si>
  <si>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</si>
  <si>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</si>
  <si>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</si>
  <si>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</si>
  <si>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</si>
  <si>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</si>
  <si>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</si>
  <si>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</si>
  <si>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</si>
  <si>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</si>
  <si>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</si>
  <si>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</si>
  <si>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</si>
  <si>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</si>
  <si>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</si>
  <si>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</si>
  <si>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</si>
  <si>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</si>
  <si>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</si>
  <si>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</si>
  <si>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</si>
  <si>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</si>
  <si>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</si>
  <si>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</si>
  <si>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</si>
  <si>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</si>
  <si>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</si>
  <si>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</si>
  <si>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</si>
  <si>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</si>
  <si>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</si>
  <si>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</si>
  <si>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</si>
  <si>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</si>
  <si>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</si>
  <si>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</si>
  <si>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</si>
  <si>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(должность, подпись, Ф.И.О)</t>
  </si>
  <si>
    <t>(Локальный сметный расчет)</t>
  </si>
  <si>
    <t xml:space="preserve">   Начисления: Н3(ЭМ)= 1.25, Н4(ЗПМ)= 1.25, Н5(ОЗП)= 1.15</t>
  </si>
  <si>
    <t xml:space="preserve">   Начисления: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</si>
</sst>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6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66"/>
  <sheetViews>
    <sheetView tabSelected="1" workbookViewId="0" topLeftCell="A22">
      <selection activeCell="B54" sqref="B54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10.851562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2" t="s">
        <v>1</v>
      </c>
      <c r="B3" s="52"/>
      <c r="C3" s="52"/>
      <c r="D3" s="52"/>
      <c r="F3" s="52" t="s">
        <v>2</v>
      </c>
      <c r="G3" s="52"/>
      <c r="H3" s="52"/>
      <c r="I3" s="52"/>
    </row>
    <row r="4" spans="1:10" ht="10.5" customHeight="1">
      <c r="A4" s="63" t="s">
        <v>3</v>
      </c>
      <c r="B4" s="63"/>
      <c r="C4" s="40">
        <f>F153</f>
        <v>36495.71</v>
      </c>
      <c r="D4" s="41" t="s">
        <v>4</v>
      </c>
      <c r="E4" s="42"/>
      <c r="F4" s="63" t="s">
        <v>3</v>
      </c>
      <c r="G4" s="63"/>
      <c r="H4" s="40">
        <f>F153</f>
        <v>36495.71</v>
      </c>
      <c r="I4" s="41" t="s">
        <v>4</v>
      </c>
      <c r="J4" s="42"/>
    </row>
    <row r="5" spans="1:9" ht="10.5">
      <c r="A5" s="50"/>
      <c r="B5" s="50"/>
      <c r="C5" s="50"/>
      <c r="D5" s="50"/>
      <c r="F5" s="50"/>
      <c r="G5" s="50"/>
      <c r="H5" s="50"/>
      <c r="I5" s="50"/>
    </row>
    <row r="6" spans="1:9" ht="10.5">
      <c r="A6" s="50"/>
      <c r="B6" s="50"/>
      <c r="C6" s="50"/>
      <c r="D6" s="50"/>
      <c r="F6" s="50"/>
      <c r="G6" s="50"/>
      <c r="H6" s="50"/>
      <c r="I6" s="50"/>
    </row>
    <row r="7" spans="1:9" ht="10.5">
      <c r="A7" s="51" t="s">
        <v>5</v>
      </c>
      <c r="B7" s="51"/>
      <c r="C7" s="51"/>
      <c r="D7" s="51"/>
      <c r="F7" s="51" t="s">
        <v>5</v>
      </c>
      <c r="G7" s="51"/>
      <c r="H7" s="51"/>
      <c r="I7" s="51"/>
    </row>
    <row r="8" spans="1:9" ht="10.5">
      <c r="A8" s="50"/>
      <c r="B8" s="50"/>
      <c r="C8" s="50"/>
      <c r="D8" s="50"/>
      <c r="F8" s="50"/>
      <c r="G8" s="50"/>
      <c r="H8" s="50"/>
      <c r="I8" s="50"/>
    </row>
    <row r="9" spans="1:9" ht="10.5">
      <c r="A9" s="60" t="s">
        <v>306</v>
      </c>
      <c r="B9" s="51"/>
      <c r="C9" s="51"/>
      <c r="D9" s="51"/>
      <c r="F9" s="60" t="s">
        <v>306</v>
      </c>
      <c r="G9" s="51"/>
      <c r="H9" s="51"/>
      <c r="I9" s="51"/>
    </row>
    <row r="12" spans="2:3" ht="10.5">
      <c r="B12" s="6" t="s">
        <v>6</v>
      </c>
      <c r="C12" s="7" t="s">
        <v>7</v>
      </c>
    </row>
    <row r="13" spans="1:10" ht="10.5">
      <c r="A13" s="44" t="s">
        <v>8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0.5">
      <c r="A14" s="62" t="s">
        <v>308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0.5">
      <c r="A15" s="61" t="s">
        <v>9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46" t="str">
        <f>TEXT((F147)/1000,"# ##0"&amp;GetSeparator()&amp;"000")</f>
        <v> 8,270</v>
      </c>
      <c r="I17" s="46"/>
      <c r="J17" s="9" t="s">
        <v>13</v>
      </c>
    </row>
    <row r="18" spans="7:10" ht="10.5">
      <c r="G18" s="6" t="s">
        <v>14</v>
      </c>
      <c r="H18" s="46" t="str">
        <f>TEXT((J160)/1000,"# ##0"&amp;GetSeparator()&amp;"000")</f>
        <v> 0,049</v>
      </c>
      <c r="I18" s="46"/>
      <c r="J18" s="9" t="s">
        <v>15</v>
      </c>
    </row>
    <row r="19" spans="7:10" ht="10.5">
      <c r="G19" s="6" t="s">
        <v>16</v>
      </c>
      <c r="H19" s="46" t="str">
        <f>TEXT((F157)/1000,"# ##0"&amp;GetSeparator()&amp;"000")</f>
        <v> 0,545</v>
      </c>
      <c r="I19" s="46"/>
      <c r="J19" s="9" t="s">
        <v>13</v>
      </c>
    </row>
    <row r="20" spans="1:10" ht="10.5">
      <c r="A20" s="53" t="s">
        <v>17</v>
      </c>
      <c r="B20" s="53"/>
      <c r="C20" s="53"/>
      <c r="D20" s="53"/>
      <c r="E20" s="53"/>
      <c r="F20" s="53"/>
      <c r="G20" s="53"/>
      <c r="H20" s="53"/>
      <c r="I20" s="53"/>
      <c r="J20" s="53"/>
    </row>
    <row r="21" ht="4.5" customHeight="1"/>
    <row r="22" spans="1:10" ht="43.5" customHeight="1">
      <c r="A22" s="54" t="s">
        <v>18</v>
      </c>
      <c r="B22" s="54" t="s">
        <v>19</v>
      </c>
      <c r="C22" s="54" t="s">
        <v>20</v>
      </c>
      <c r="D22" s="57" t="s">
        <v>21</v>
      </c>
      <c r="E22" s="58"/>
      <c r="F22" s="57" t="s">
        <v>22</v>
      </c>
      <c r="G22" s="59"/>
      <c r="H22" s="58"/>
      <c r="I22" s="57" t="s">
        <v>23</v>
      </c>
      <c r="J22" s="58"/>
    </row>
    <row r="23" spans="1:10" ht="21.75" customHeight="1">
      <c r="A23" s="55"/>
      <c r="B23" s="55"/>
      <c r="C23" s="55"/>
      <c r="D23" s="10" t="s">
        <v>24</v>
      </c>
      <c r="E23" s="10" t="s">
        <v>25</v>
      </c>
      <c r="F23" s="54" t="s">
        <v>24</v>
      </c>
      <c r="G23" s="54" t="s">
        <v>26</v>
      </c>
      <c r="H23" s="10" t="s">
        <v>25</v>
      </c>
      <c r="I23" s="57" t="s">
        <v>27</v>
      </c>
      <c r="J23" s="58"/>
    </row>
    <row r="24" spans="1:10" ht="43.5" customHeight="1">
      <c r="A24" s="56"/>
      <c r="B24" s="56"/>
      <c r="C24" s="56"/>
      <c r="D24" s="10" t="s">
        <v>26</v>
      </c>
      <c r="E24" s="10" t="s">
        <v>28</v>
      </c>
      <c r="F24" s="56"/>
      <c r="G24" s="56"/>
      <c r="H24" s="10" t="s">
        <v>28</v>
      </c>
      <c r="I24" s="10" t="s">
        <v>29</v>
      </c>
      <c r="J24" s="10" t="s">
        <v>24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1" t="s">
        <v>30</v>
      </c>
      <c r="B26" s="52" t="s">
        <v>31</v>
      </c>
      <c r="C26" s="50">
        <v>0.43</v>
      </c>
      <c r="D26" s="12">
        <f>'Базовые цены за единицу'!B6</f>
        <v>1440.07</v>
      </c>
      <c r="E26" s="12">
        <v>441.9</v>
      </c>
      <c r="F26" s="47">
        <f>'Базовые цены с учетом расхода'!B6</f>
        <v>619.24</v>
      </c>
      <c r="G26" s="47">
        <f>'Базовые цены с учетом расхода'!C6</f>
        <v>306.88</v>
      </c>
      <c r="H26" s="12">
        <f>'Базовые цены с учетом расхода'!D6</f>
        <v>190.02</v>
      </c>
      <c r="I26" s="14">
        <v>64.5265</v>
      </c>
      <c r="J26" s="14">
        <f>'Базовые цены с учетом расхода'!I6</f>
        <v>27.746395</v>
      </c>
      <c r="K26" s="2" t="s">
        <v>32</v>
      </c>
      <c r="L26" s="2" t="s">
        <v>33</v>
      </c>
      <c r="N26" s="47">
        <f>'Базовые цены с учетом расхода'!F6</f>
        <v>122.34</v>
      </c>
    </row>
    <row r="27" spans="1:14" ht="21.75" customHeight="1">
      <c r="A27" s="50"/>
      <c r="B27" s="50"/>
      <c r="C27" s="50"/>
      <c r="D27" s="13">
        <v>713.67</v>
      </c>
      <c r="E27" s="13">
        <v>50.15</v>
      </c>
      <c r="F27" s="47"/>
      <c r="G27" s="47"/>
      <c r="H27" s="13">
        <f>'Базовые цены с учетом расхода'!E6</f>
        <v>21.56</v>
      </c>
      <c r="I27" s="2">
        <v>3.0625</v>
      </c>
      <c r="J27" s="2">
        <f>'Базовые цены с учетом расхода'!K6</f>
        <v>1.316875</v>
      </c>
      <c r="K27" s="2" t="s">
        <v>34</v>
      </c>
      <c r="L27" s="2" t="s">
        <v>35</v>
      </c>
      <c r="N27" s="47"/>
    </row>
    <row r="28" spans="2:10" ht="10.5">
      <c r="B28" s="48" t="s">
        <v>309</v>
      </c>
      <c r="C28" s="48"/>
      <c r="D28" s="48"/>
      <c r="E28" s="48"/>
      <c r="F28" s="48"/>
      <c r="G28" s="48"/>
      <c r="H28" s="48"/>
      <c r="I28" s="48"/>
      <c r="J28" s="48"/>
    </row>
    <row r="29" spans="2:12" ht="10.5" hidden="1">
      <c r="B29" s="15" t="s">
        <v>36</v>
      </c>
      <c r="C29" s="1">
        <v>81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266.04</v>
      </c>
      <c r="L29" s="5" t="s">
        <v>37</v>
      </c>
    </row>
    <row r="30" spans="2:12" ht="10.5" hidden="1">
      <c r="B30" s="15" t="s">
        <v>38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266.04</v>
      </c>
      <c r="L30" s="5" t="s">
        <v>39</v>
      </c>
    </row>
    <row r="31" spans="2:12" ht="10.5" hidden="1">
      <c r="B31" s="15" t="s">
        <v>40</v>
      </c>
      <c r="F31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266.04</v>
      </c>
      <c r="L31" s="5" t="s">
        <v>41</v>
      </c>
    </row>
    <row r="32" spans="2:12" ht="10.5" hidden="1">
      <c r="B32" s="15" t="s">
        <v>42</v>
      </c>
      <c r="C32" s="1">
        <v>72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236.48</v>
      </c>
      <c r="L32" s="5" t="s">
        <v>43</v>
      </c>
    </row>
    <row r="33" spans="2:12" ht="10.5" hidden="1">
      <c r="B33" s="15" t="s">
        <v>44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236.48</v>
      </c>
      <c r="L33" s="5" t="s">
        <v>45</v>
      </c>
    </row>
    <row r="34" spans="2:12" ht="10.5" hidden="1">
      <c r="B34" s="15" t="s">
        <v>46</v>
      </c>
      <c r="F34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236.48</v>
      </c>
      <c r="L34" s="5" t="s">
        <v>47</v>
      </c>
    </row>
    <row r="35" spans="1:10" ht="10.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4" ht="10.5">
      <c r="A36" s="51" t="s">
        <v>48</v>
      </c>
      <c r="B36" s="52" t="s">
        <v>49</v>
      </c>
      <c r="C36" s="50">
        <v>0.43</v>
      </c>
      <c r="D36" s="12">
        <f>'Базовые цены за единицу'!B7</f>
        <v>13810</v>
      </c>
      <c r="E36" s="12"/>
      <c r="F36" s="47">
        <f>'Базовые цены с учетом расхода'!B7</f>
        <v>5938.3</v>
      </c>
      <c r="G36" s="47">
        <f>'Базовые цены с учетом расхода'!C7</f>
        <v>0</v>
      </c>
      <c r="H36" s="12">
        <f>'Базовые цены с учетом расхода'!D7</f>
        <v>0</v>
      </c>
      <c r="I36" s="14"/>
      <c r="J36" s="14">
        <f>'Базовые цены с учетом расхода'!I7</f>
        <v>0</v>
      </c>
      <c r="K36" s="2" t="s">
        <v>32</v>
      </c>
      <c r="L36" s="2" t="s">
        <v>33</v>
      </c>
      <c r="N36" s="47">
        <f>'Базовые цены с учетом расхода'!F7</f>
        <v>5938.3</v>
      </c>
    </row>
    <row r="37" spans="1:14" ht="66" customHeight="1">
      <c r="A37" s="50"/>
      <c r="B37" s="50"/>
      <c r="C37" s="50"/>
      <c r="D37" s="13"/>
      <c r="E37" s="13"/>
      <c r="F37" s="47"/>
      <c r="G37" s="47"/>
      <c r="H37" s="13">
        <f>'Базовые цены с учетом расхода'!E7</f>
        <v>0</v>
      </c>
      <c r="J37" s="2">
        <f>'Базовые цены с учетом расхода'!K7</f>
        <v>0</v>
      </c>
      <c r="K37" s="2" t="s">
        <v>34</v>
      </c>
      <c r="L37" s="2" t="s">
        <v>35</v>
      </c>
      <c r="N37" s="47"/>
    </row>
    <row r="38" spans="2:12" ht="10.5" hidden="1">
      <c r="B38" s="15" t="s">
        <v>36</v>
      </c>
      <c r="C38" s="1">
        <v>0</v>
      </c>
      <c r="F38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8" s="5" t="s">
        <v>37</v>
      </c>
    </row>
    <row r="39" spans="2:12" ht="10.5" hidden="1">
      <c r="B39" s="15" t="s">
        <v>38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9" s="5" t="s">
        <v>39</v>
      </c>
    </row>
    <row r="40" spans="2:12" ht="10.5" hidden="1">
      <c r="B40" s="15" t="s">
        <v>40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0" s="5" t="s">
        <v>41</v>
      </c>
    </row>
    <row r="41" spans="2:12" ht="10.5" hidden="1">
      <c r="B41" s="15" t="s">
        <v>42</v>
      </c>
      <c r="C41" s="1">
        <v>0</v>
      </c>
      <c r="F41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1" s="5" t="s">
        <v>43</v>
      </c>
    </row>
    <row r="42" spans="2:12" ht="10.5" hidden="1">
      <c r="B42" s="15" t="s">
        <v>44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2" s="5" t="s">
        <v>45</v>
      </c>
    </row>
    <row r="43" spans="2:12" ht="10.5" hidden="1">
      <c r="B43" s="15" t="s">
        <v>46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3" s="5" t="s">
        <v>47</v>
      </c>
    </row>
    <row r="44" spans="1:10" ht="10.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4" ht="10.5">
      <c r="A45" s="51" t="s">
        <v>50</v>
      </c>
      <c r="B45" s="52" t="s">
        <v>51</v>
      </c>
      <c r="C45" s="50">
        <v>0.0096</v>
      </c>
      <c r="D45" s="12">
        <f>'Базовые цены за единицу'!B8</f>
        <v>1338</v>
      </c>
      <c r="E45" s="12"/>
      <c r="F45" s="47">
        <f>'Базовые цены с учетом расхода'!B8</f>
        <v>12.84</v>
      </c>
      <c r="G45" s="47">
        <f>'Базовые цены с учетом расхода'!C8</f>
        <v>12.84</v>
      </c>
      <c r="H45" s="12">
        <f>'Базовые цены с учетом расхода'!D8</f>
        <v>0</v>
      </c>
      <c r="I45" s="14">
        <v>135.7</v>
      </c>
      <c r="J45" s="14">
        <f>'Базовые цены с учетом расхода'!I8</f>
        <v>1.30272</v>
      </c>
      <c r="K45" s="2" t="s">
        <v>32</v>
      </c>
      <c r="L45" s="2" t="s">
        <v>33</v>
      </c>
      <c r="N45" s="47">
        <f>'Базовые цены с учетом расхода'!F8</f>
        <v>0</v>
      </c>
    </row>
    <row r="46" spans="1:14" ht="43.5" customHeight="1">
      <c r="A46" s="50"/>
      <c r="B46" s="50"/>
      <c r="C46" s="50"/>
      <c r="D46" s="13">
        <v>1338</v>
      </c>
      <c r="E46" s="13"/>
      <c r="F46" s="47"/>
      <c r="G46" s="47"/>
      <c r="H46" s="13">
        <f>'Базовые цены с учетом расхода'!E8</f>
        <v>0</v>
      </c>
      <c r="J46" s="2">
        <f>'Базовые цены с учетом расхода'!K8</f>
        <v>0</v>
      </c>
      <c r="K46" s="2" t="s">
        <v>34</v>
      </c>
      <c r="L46" s="2" t="s">
        <v>35</v>
      </c>
      <c r="N46" s="47"/>
    </row>
    <row r="47" spans="2:10" ht="10.5">
      <c r="B47" s="48" t="s">
        <v>310</v>
      </c>
      <c r="C47" s="48"/>
      <c r="D47" s="48"/>
      <c r="E47" s="48"/>
      <c r="F47" s="48"/>
      <c r="G47" s="48"/>
      <c r="H47" s="48"/>
      <c r="I47" s="48"/>
      <c r="J47" s="48"/>
    </row>
    <row r="48" spans="2:12" ht="10.5" hidden="1">
      <c r="B48" s="15" t="s">
        <v>36</v>
      </c>
      <c r="C48" s="1">
        <v>80</v>
      </c>
      <c r="F48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10.27</v>
      </c>
      <c r="L48" s="5" t="s">
        <v>37</v>
      </c>
    </row>
    <row r="49" spans="2:12" ht="10.5" hidden="1">
      <c r="B49" s="15" t="s">
        <v>38</v>
      </c>
      <c r="F49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10.27</v>
      </c>
      <c r="L49" s="5" t="s">
        <v>39</v>
      </c>
    </row>
    <row r="50" spans="2:12" ht="10.5" hidden="1">
      <c r="B50" s="15" t="s">
        <v>40</v>
      </c>
      <c r="F50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10.27</v>
      </c>
      <c r="L50" s="5" t="s">
        <v>41</v>
      </c>
    </row>
    <row r="51" spans="2:12" ht="10.5" hidden="1">
      <c r="B51" s="15" t="s">
        <v>42</v>
      </c>
      <c r="C51" s="1">
        <v>38</v>
      </c>
      <c r="F51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4.88</v>
      </c>
      <c r="L51" s="5" t="s">
        <v>43</v>
      </c>
    </row>
    <row r="52" spans="2:12" ht="10.5" hidden="1">
      <c r="B52" s="15" t="s">
        <v>44</v>
      </c>
      <c r="F52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4.88</v>
      </c>
      <c r="L52" s="5" t="s">
        <v>45</v>
      </c>
    </row>
    <row r="53" spans="2:12" ht="10.5" hidden="1">
      <c r="B53" s="15" t="s">
        <v>46</v>
      </c>
      <c r="F53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4.88</v>
      </c>
      <c r="L53" s="5" t="s">
        <v>47</v>
      </c>
    </row>
    <row r="54" spans="1:10" ht="10.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4" ht="10.5">
      <c r="A55" s="51" t="s">
        <v>52</v>
      </c>
      <c r="B55" s="52" t="s">
        <v>53</v>
      </c>
      <c r="C55" s="50">
        <v>0.96</v>
      </c>
      <c r="D55" s="12">
        <f>'Базовые цены за единицу'!B9</f>
        <v>707.94</v>
      </c>
      <c r="E55" s="12">
        <v>24.1</v>
      </c>
      <c r="F55" s="47">
        <f>'Базовые цены с учетом расхода'!B9</f>
        <v>679.62</v>
      </c>
      <c r="G55" s="47">
        <f>'Базовые цены с учетом расхода'!C9</f>
        <v>71.19</v>
      </c>
      <c r="H55" s="12">
        <f>'Базовые цены с учетом расхода'!D9</f>
        <v>23.14</v>
      </c>
      <c r="I55" s="14">
        <v>6.87999</v>
      </c>
      <c r="J55" s="14">
        <f>'Базовые цены с учетом расхода'!I9</f>
        <v>6.6047904</v>
      </c>
      <c r="K55" s="2" t="s">
        <v>32</v>
      </c>
      <c r="L55" s="2" t="s">
        <v>33</v>
      </c>
      <c r="N55" s="47">
        <f>'Базовые цены с учетом расхода'!F9</f>
        <v>585.29</v>
      </c>
    </row>
    <row r="56" spans="1:14" ht="43.5" customHeight="1">
      <c r="A56" s="50"/>
      <c r="B56" s="50"/>
      <c r="C56" s="50"/>
      <c r="D56" s="13">
        <v>74.16</v>
      </c>
      <c r="E56" s="13">
        <v>3.79</v>
      </c>
      <c r="F56" s="47"/>
      <c r="G56" s="47"/>
      <c r="H56" s="13">
        <f>'Базовые цены с учетом расхода'!E9</f>
        <v>3.64</v>
      </c>
      <c r="I56" s="2">
        <v>0.23275</v>
      </c>
      <c r="J56" s="2">
        <f>'Базовые цены с учетом расхода'!K9</f>
        <v>0.22344</v>
      </c>
      <c r="K56" s="2" t="s">
        <v>34</v>
      </c>
      <c r="L56" s="2" t="s">
        <v>35</v>
      </c>
      <c r="N56" s="47"/>
    </row>
    <row r="57" spans="2:10" ht="10.5">
      <c r="B57" s="48" t="s">
        <v>309</v>
      </c>
      <c r="C57" s="48"/>
      <c r="D57" s="48"/>
      <c r="E57" s="48"/>
      <c r="F57" s="48"/>
      <c r="G57" s="48"/>
      <c r="H57" s="48"/>
      <c r="I57" s="48"/>
      <c r="J57" s="48"/>
    </row>
    <row r="58" spans="2:12" ht="10.5" hidden="1">
      <c r="B58" s="15" t="s">
        <v>36</v>
      </c>
      <c r="C58" s="1">
        <v>95</v>
      </c>
      <c r="F58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71.09</v>
      </c>
      <c r="L58" s="5" t="s">
        <v>37</v>
      </c>
    </row>
    <row r="59" spans="2:12" ht="10.5" hidden="1">
      <c r="B59" s="15" t="s">
        <v>38</v>
      </c>
      <c r="F59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71.09</v>
      </c>
      <c r="L59" s="5" t="s">
        <v>39</v>
      </c>
    </row>
    <row r="60" spans="2:12" ht="10.5" hidden="1">
      <c r="B60" s="15" t="s">
        <v>40</v>
      </c>
      <c r="F60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71.09</v>
      </c>
      <c r="L60" s="5" t="s">
        <v>41</v>
      </c>
    </row>
    <row r="61" spans="2:12" ht="10.5" hidden="1">
      <c r="B61" s="15" t="s">
        <v>42</v>
      </c>
      <c r="C61" s="1">
        <v>55</v>
      </c>
      <c r="F61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41.16</v>
      </c>
      <c r="L61" s="5" t="s">
        <v>43</v>
      </c>
    </row>
    <row r="62" spans="2:12" ht="10.5" hidden="1">
      <c r="B62" s="15" t="s">
        <v>44</v>
      </c>
      <c r="F62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41.16</v>
      </c>
      <c r="L62" s="5" t="s">
        <v>45</v>
      </c>
    </row>
    <row r="63" spans="2:12" ht="10.5" hidden="1">
      <c r="B63" s="15" t="s">
        <v>46</v>
      </c>
      <c r="F63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41.16</v>
      </c>
      <c r="L63" s="5" t="s">
        <v>47</v>
      </c>
    </row>
    <row r="64" spans="1:10" ht="10.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4" ht="10.5">
      <c r="A65" s="51" t="s">
        <v>54</v>
      </c>
      <c r="B65" s="52" t="s">
        <v>55</v>
      </c>
      <c r="C65" s="50">
        <v>0.1406</v>
      </c>
      <c r="D65" s="12">
        <f>'Базовые цены за единицу'!B10</f>
        <v>1472.21</v>
      </c>
      <c r="E65" s="12">
        <v>3.89</v>
      </c>
      <c r="F65" s="47">
        <f>'Базовые цены с учетом расхода'!B10</f>
        <v>206.99</v>
      </c>
      <c r="G65" s="47">
        <f>'Базовые цены с учетом расхода'!C10</f>
        <v>128.68</v>
      </c>
      <c r="H65" s="12">
        <f>'Базовые цены с учетом расхода'!D10</f>
        <v>0.55</v>
      </c>
      <c r="I65" s="14">
        <v>81.719</v>
      </c>
      <c r="J65" s="14">
        <f>'Базовые цены с учетом расхода'!I10</f>
        <v>11.489691</v>
      </c>
      <c r="K65" s="2" t="s">
        <v>32</v>
      </c>
      <c r="L65" s="2" t="s">
        <v>33</v>
      </c>
      <c r="N65" s="47">
        <f>'Базовые цены с учетом расхода'!F10</f>
        <v>77.76</v>
      </c>
    </row>
    <row r="66" spans="1:14" ht="54.75" customHeight="1">
      <c r="A66" s="50"/>
      <c r="B66" s="50"/>
      <c r="C66" s="50"/>
      <c r="D66" s="13">
        <v>915.25</v>
      </c>
      <c r="E66" s="13">
        <v>0.14</v>
      </c>
      <c r="F66" s="47"/>
      <c r="G66" s="47"/>
      <c r="H66" s="13">
        <f>'Базовые цены с учетом расхода'!E10</f>
        <v>0.02</v>
      </c>
      <c r="I66" s="2">
        <v>0.0125</v>
      </c>
      <c r="J66" s="2">
        <f>'Базовые цены с учетом расхода'!K10</f>
        <v>0.0017575</v>
      </c>
      <c r="K66" s="2" t="s">
        <v>34</v>
      </c>
      <c r="L66" s="2" t="s">
        <v>35</v>
      </c>
      <c r="N66" s="47"/>
    </row>
    <row r="67" spans="2:10" ht="10.5">
      <c r="B67" s="48" t="s">
        <v>309</v>
      </c>
      <c r="C67" s="48"/>
      <c r="D67" s="48"/>
      <c r="E67" s="48"/>
      <c r="F67" s="48"/>
      <c r="G67" s="48"/>
      <c r="H67" s="48"/>
      <c r="I67" s="48"/>
      <c r="J67" s="48"/>
    </row>
    <row r="68" spans="2:12" ht="10.5" hidden="1">
      <c r="B68" s="15" t="s">
        <v>36</v>
      </c>
      <c r="C68" s="1">
        <v>95</v>
      </c>
      <c r="F68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122.27</v>
      </c>
      <c r="L68" s="5" t="s">
        <v>37</v>
      </c>
    </row>
    <row r="69" spans="2:12" ht="10.5" hidden="1">
      <c r="B69" s="15" t="s">
        <v>38</v>
      </c>
      <c r="F69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122.27</v>
      </c>
      <c r="L69" s="5" t="s">
        <v>39</v>
      </c>
    </row>
    <row r="70" spans="2:12" ht="10.5" hidden="1">
      <c r="B70" s="15" t="s">
        <v>40</v>
      </c>
      <c r="F70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122.27</v>
      </c>
      <c r="L70" s="5" t="s">
        <v>41</v>
      </c>
    </row>
    <row r="71" spans="2:12" ht="10.5" hidden="1">
      <c r="B71" s="15" t="s">
        <v>42</v>
      </c>
      <c r="C71" s="1">
        <v>47</v>
      </c>
      <c r="F71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60.49</v>
      </c>
      <c r="L71" s="5" t="s">
        <v>43</v>
      </c>
    </row>
    <row r="72" spans="2:12" ht="10.5" hidden="1">
      <c r="B72" s="15" t="s">
        <v>44</v>
      </c>
      <c r="F72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60.49</v>
      </c>
      <c r="L72" s="5" t="s">
        <v>45</v>
      </c>
    </row>
    <row r="73" spans="2:12" ht="10.5" hidden="1">
      <c r="B73" s="15" t="s">
        <v>46</v>
      </c>
      <c r="F73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60.49</v>
      </c>
      <c r="L73" s="5" t="s">
        <v>47</v>
      </c>
    </row>
    <row r="74" spans="1:10" ht="10.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2:18" ht="10.5">
      <c r="B75" s="9" t="s">
        <v>56</v>
      </c>
      <c r="E75" s="49"/>
      <c r="F75" s="45">
        <f>'Базовые концовки'!F7</f>
        <v>7456.99</v>
      </c>
      <c r="G75" s="45">
        <f>'Базовые концовки'!G7</f>
        <v>519.59</v>
      </c>
      <c r="H75" s="20">
        <f>'Базовые концовки'!H7</f>
        <v>213.71</v>
      </c>
      <c r="I75" s="50"/>
      <c r="J75" s="21">
        <f>'Базовые концовки'!J7</f>
        <v>47.1435964</v>
      </c>
      <c r="N75" s="45">
        <f>'Базовые концовки'!L7</f>
        <v>6723.69</v>
      </c>
      <c r="R75" s="45">
        <f>'Базовые концовки'!M7</f>
        <v>0</v>
      </c>
    </row>
    <row r="76" spans="5:18" ht="10.5">
      <c r="E76" s="49"/>
      <c r="F76" s="45"/>
      <c r="G76" s="45"/>
      <c r="H76" s="19">
        <f>'Базовые концовки'!I7</f>
        <v>25.22</v>
      </c>
      <c r="I76" s="50"/>
      <c r="J76" s="8">
        <f>'Базовые концовки'!K7</f>
        <v>1.5420725</v>
      </c>
      <c r="N76" s="45"/>
      <c r="R76" s="45"/>
    </row>
    <row r="77" spans="2:18" ht="10.5" hidden="1">
      <c r="B77" s="9" t="s">
        <v>57</v>
      </c>
      <c r="E77" s="18"/>
      <c r="F77" s="19">
        <f>'Базовые концовки'!F8</f>
        <v>0</v>
      </c>
      <c r="G77" s="19">
        <f>'Базовые концовки'!G8</f>
        <v>0</v>
      </c>
      <c r="H77" s="19">
        <f>'Базовые концовки'!H8</f>
        <v>0</v>
      </c>
      <c r="J77" s="8">
        <f>'Базовые концовки'!J8</f>
        <v>0</v>
      </c>
      <c r="N77" s="19">
        <f>'Базовые концовки'!L8</f>
        <v>0</v>
      </c>
      <c r="R77" s="19">
        <f>'Базовые концовки'!M8</f>
        <v>0</v>
      </c>
    </row>
    <row r="78" spans="2:18" ht="10.5" hidden="1">
      <c r="B78" s="9" t="s">
        <v>58</v>
      </c>
      <c r="E78" s="18"/>
      <c r="F78" s="19">
        <f>'Базовые концовки'!F9</f>
        <v>0</v>
      </c>
      <c r="G78" s="19"/>
      <c r="H78" s="19"/>
      <c r="J78" s="8"/>
      <c r="N78" s="19"/>
      <c r="R78" s="19"/>
    </row>
    <row r="79" spans="2:18" ht="10.5" hidden="1">
      <c r="B79" s="9" t="s">
        <v>59</v>
      </c>
      <c r="E79" s="18"/>
      <c r="F79" s="19">
        <f>'Базовые концовки'!F10</f>
        <v>0</v>
      </c>
      <c r="G79" s="19"/>
      <c r="H79" s="19"/>
      <c r="J79" s="8"/>
      <c r="N79" s="19"/>
      <c r="R79" s="19"/>
    </row>
    <row r="80" spans="2:18" ht="10.5" hidden="1">
      <c r="B80" s="9" t="s">
        <v>60</v>
      </c>
      <c r="E80" s="18"/>
      <c r="F80" s="19">
        <f>'Базовые концовки'!F11</f>
        <v>0</v>
      </c>
      <c r="G80" s="19"/>
      <c r="H80" s="19"/>
      <c r="J80" s="8"/>
      <c r="N80" s="19"/>
      <c r="R80" s="19"/>
    </row>
    <row r="81" spans="2:18" ht="10.5" hidden="1">
      <c r="B81" s="9" t="s">
        <v>61</v>
      </c>
      <c r="E81" s="18"/>
      <c r="F81" s="19">
        <f>'Базовые концовки'!F12</f>
        <v>0</v>
      </c>
      <c r="G81" s="19"/>
      <c r="H81" s="19"/>
      <c r="J81" s="8"/>
      <c r="N81" s="19"/>
      <c r="R81" s="19"/>
    </row>
    <row r="82" spans="2:18" ht="10.5" hidden="1">
      <c r="B82" s="9" t="s">
        <v>62</v>
      </c>
      <c r="E82" s="18"/>
      <c r="F82" s="19">
        <f>'Базовые концовки'!F13</f>
        <v>0</v>
      </c>
      <c r="G82" s="19"/>
      <c r="H82" s="19"/>
      <c r="J82" s="8"/>
      <c r="N82" s="19"/>
      <c r="R82" s="19"/>
    </row>
    <row r="83" spans="2:18" ht="10.5" hidden="1">
      <c r="B83" s="9" t="s">
        <v>63</v>
      </c>
      <c r="E83" s="18"/>
      <c r="F83" s="19">
        <f>'Базовые концовки'!F14</f>
        <v>0</v>
      </c>
      <c r="G83" s="19"/>
      <c r="H83" s="19"/>
      <c r="J83" s="8"/>
      <c r="N83" s="19"/>
      <c r="R83" s="19"/>
    </row>
    <row r="84" spans="2:18" ht="10.5" hidden="1">
      <c r="B84" s="9" t="s">
        <v>64</v>
      </c>
      <c r="E84" s="18"/>
      <c r="F84" s="19">
        <f>'Базовые концовки'!F15</f>
        <v>0</v>
      </c>
      <c r="G84" s="19"/>
      <c r="H84" s="19"/>
      <c r="J84" s="8"/>
      <c r="N84" s="19"/>
      <c r="R84" s="19"/>
    </row>
    <row r="85" spans="2:18" ht="10.5" hidden="1">
      <c r="B85" s="9" t="s">
        <v>65</v>
      </c>
      <c r="E85" s="18"/>
      <c r="F85" s="19">
        <f>'Базовые концовки'!F16</f>
        <v>0</v>
      </c>
      <c r="G85" s="19"/>
      <c r="H85" s="19"/>
      <c r="J85" s="8"/>
      <c r="N85" s="19"/>
      <c r="R85" s="19"/>
    </row>
    <row r="86" spans="2:18" ht="10.5" hidden="1">
      <c r="B86" s="9" t="s">
        <v>66</v>
      </c>
      <c r="E86" s="18"/>
      <c r="F86" s="19">
        <f>'Базовые концовки'!F17</f>
        <v>0</v>
      </c>
      <c r="G86" s="19"/>
      <c r="H86" s="19"/>
      <c r="J86" s="8"/>
      <c r="N86" s="19"/>
      <c r="R86" s="19"/>
    </row>
    <row r="87" spans="2:18" ht="10.5" hidden="1">
      <c r="B87" s="9" t="s">
        <v>67</v>
      </c>
      <c r="E87" s="18"/>
      <c r="F87" s="19">
        <f>'Базовые концовки'!F18</f>
        <v>0</v>
      </c>
      <c r="G87" s="19">
        <f>'Базовые концовки'!G18</f>
        <v>0</v>
      </c>
      <c r="H87" s="19">
        <f>'Базовые концовки'!H18</f>
        <v>0</v>
      </c>
      <c r="J87" s="8">
        <f>'Базовые концовки'!J18</f>
        <v>0</v>
      </c>
      <c r="N87" s="19">
        <f>'Базовые концовки'!L18</f>
        <v>0</v>
      </c>
      <c r="R87" s="19">
        <f>'Базовые концовки'!M18</f>
        <v>0</v>
      </c>
    </row>
    <row r="88" spans="2:18" ht="10.5" hidden="1">
      <c r="B88" s="9" t="s">
        <v>68</v>
      </c>
      <c r="E88" s="18"/>
      <c r="F88" s="19"/>
      <c r="G88" s="19"/>
      <c r="H88" s="19"/>
      <c r="J88" s="8"/>
      <c r="N88" s="19"/>
      <c r="R88" s="19"/>
    </row>
    <row r="89" spans="2:18" ht="10.5" hidden="1">
      <c r="B89" s="9" t="s">
        <v>69</v>
      </c>
      <c r="E89" s="18"/>
      <c r="F89" s="19"/>
      <c r="G89" s="19">
        <f>'Базовые концовки'!G20</f>
        <v>0</v>
      </c>
      <c r="H89" s="19"/>
      <c r="J89" s="8"/>
      <c r="N89" s="19"/>
      <c r="R89" s="19"/>
    </row>
    <row r="90" spans="2:18" ht="10.5" hidden="1">
      <c r="B90" s="9" t="s">
        <v>70</v>
      </c>
      <c r="E90" s="18"/>
      <c r="F90" s="19">
        <f>'Базовые концовки'!F21</f>
        <v>0</v>
      </c>
      <c r="G90" s="19"/>
      <c r="H90" s="19"/>
      <c r="J90" s="8"/>
      <c r="N90" s="19"/>
      <c r="R90" s="19"/>
    </row>
    <row r="91" spans="2:18" ht="10.5" hidden="1">
      <c r="B91" s="9" t="s">
        <v>71</v>
      </c>
      <c r="E91" s="18"/>
      <c r="F91" s="19">
        <f>'Базовые концовки'!F22</f>
        <v>0</v>
      </c>
      <c r="G91" s="19"/>
      <c r="H91" s="19"/>
      <c r="J91" s="8"/>
      <c r="N91" s="19"/>
      <c r="R91" s="19"/>
    </row>
    <row r="92" spans="2:18" ht="10.5" hidden="1">
      <c r="B92" s="9" t="s">
        <v>72</v>
      </c>
      <c r="E92" s="18"/>
      <c r="F92" s="19">
        <f>'Базовые концовки'!F23</f>
        <v>0</v>
      </c>
      <c r="G92" s="19"/>
      <c r="H92" s="19"/>
      <c r="J92" s="8"/>
      <c r="N92" s="19"/>
      <c r="R92" s="19"/>
    </row>
    <row r="93" spans="2:18" ht="10.5" hidden="1">
      <c r="B93" s="9" t="s">
        <v>73</v>
      </c>
      <c r="E93" s="18"/>
      <c r="F93" s="19">
        <f>'Базовые концовки'!F24</f>
        <v>0</v>
      </c>
      <c r="G93" s="19"/>
      <c r="H93" s="19"/>
      <c r="J93" s="8"/>
      <c r="N93" s="19"/>
      <c r="R93" s="19"/>
    </row>
    <row r="94" spans="2:18" ht="10.5" hidden="1">
      <c r="B94" s="9" t="s">
        <v>74</v>
      </c>
      <c r="E94" s="18"/>
      <c r="F94" s="19">
        <f>'Базовые концовки'!F25</f>
        <v>0</v>
      </c>
      <c r="G94" s="19"/>
      <c r="H94" s="19"/>
      <c r="J94" s="8"/>
      <c r="N94" s="19"/>
      <c r="R94" s="19"/>
    </row>
    <row r="95" spans="2:18" ht="10.5" hidden="1">
      <c r="B95" s="9" t="s">
        <v>65</v>
      </c>
      <c r="E95" s="18"/>
      <c r="F95" s="19">
        <f>'Базовые концовки'!F26</f>
        <v>0</v>
      </c>
      <c r="G95" s="19"/>
      <c r="H95" s="19"/>
      <c r="J95" s="8"/>
      <c r="N95" s="19"/>
      <c r="R95" s="19"/>
    </row>
    <row r="96" spans="2:18" ht="10.5" hidden="1">
      <c r="B96" s="9" t="s">
        <v>75</v>
      </c>
      <c r="E96" s="18"/>
      <c r="F96" s="19">
        <f>'Базовые концовки'!F27</f>
        <v>0</v>
      </c>
      <c r="G96" s="19"/>
      <c r="H96" s="19"/>
      <c r="J96" s="8"/>
      <c r="N96" s="19"/>
      <c r="R96" s="19"/>
    </row>
    <row r="97" spans="2:18" ht="10.5">
      <c r="B97" s="9" t="s">
        <v>76</v>
      </c>
      <c r="E97" s="49"/>
      <c r="F97" s="45">
        <f>'Базовые концовки'!F28</f>
        <v>899.45</v>
      </c>
      <c r="G97" s="45">
        <f>'Базовые концовки'!G28</f>
        <v>212.71</v>
      </c>
      <c r="H97" s="20">
        <f>'Базовые концовки'!H28</f>
        <v>23.69</v>
      </c>
      <c r="I97" s="50"/>
      <c r="J97" s="21">
        <f>'Базовые концовки'!J28</f>
        <v>19.3972014</v>
      </c>
      <c r="N97" s="45">
        <f>'Базовые концовки'!L28</f>
        <v>663.05</v>
      </c>
      <c r="R97" s="45">
        <f>'Базовые концовки'!M28</f>
        <v>0</v>
      </c>
    </row>
    <row r="98" spans="5:18" ht="10.5">
      <c r="E98" s="49"/>
      <c r="F98" s="45"/>
      <c r="G98" s="45"/>
      <c r="H98" s="19">
        <f>'Базовые концовки'!I28</f>
        <v>3.66</v>
      </c>
      <c r="I98" s="50"/>
      <c r="J98" s="8">
        <f>'Базовые концовки'!K28</f>
        <v>0.2251975</v>
      </c>
      <c r="N98" s="45"/>
      <c r="R98" s="45"/>
    </row>
    <row r="99" spans="2:18" ht="10.5" hidden="1">
      <c r="B99" s="9" t="s">
        <v>68</v>
      </c>
      <c r="E99" s="18"/>
      <c r="F99" s="19"/>
      <c r="G99" s="19"/>
      <c r="H99" s="19"/>
      <c r="J99" s="8"/>
      <c r="N99" s="19"/>
      <c r="R99" s="19"/>
    </row>
    <row r="100" spans="2:18" ht="10.5" hidden="1">
      <c r="B100" s="9" t="s">
        <v>77</v>
      </c>
      <c r="E100" s="18"/>
      <c r="F100" s="19">
        <f>'Базовые концовки'!F30</f>
        <v>5938.3</v>
      </c>
      <c r="G100" s="19"/>
      <c r="H100" s="19"/>
      <c r="J100" s="8"/>
      <c r="N100" s="19"/>
      <c r="R100" s="19"/>
    </row>
    <row r="101" spans="2:18" ht="10.5" hidden="1">
      <c r="B101" s="9" t="s">
        <v>72</v>
      </c>
      <c r="E101" s="18"/>
      <c r="F101" s="19">
        <f>'Базовые концовки'!F31</f>
        <v>0</v>
      </c>
      <c r="G101" s="19"/>
      <c r="H101" s="19"/>
      <c r="J101" s="8"/>
      <c r="N101" s="19"/>
      <c r="R101" s="19"/>
    </row>
    <row r="102" spans="2:18" ht="10.5">
      <c r="B102" s="9" t="s">
        <v>78</v>
      </c>
      <c r="E102" s="18"/>
      <c r="F102" s="19">
        <f>'Базовые концовки'!F32</f>
        <v>203.63</v>
      </c>
      <c r="G102" s="19"/>
      <c r="H102" s="19"/>
      <c r="J102" s="8"/>
      <c r="N102" s="19"/>
      <c r="R102" s="19"/>
    </row>
    <row r="103" spans="2:18" ht="10.5">
      <c r="B103" s="9" t="s">
        <v>79</v>
      </c>
      <c r="E103" s="18"/>
      <c r="F103" s="19">
        <f>'Базовые концовки'!F33</f>
        <v>106.53</v>
      </c>
      <c r="G103" s="19"/>
      <c r="H103" s="19"/>
      <c r="J103" s="8"/>
      <c r="N103" s="19"/>
      <c r="R103" s="19"/>
    </row>
    <row r="104" spans="2:18" ht="10.5">
      <c r="B104" s="9" t="s">
        <v>80</v>
      </c>
      <c r="E104" s="18"/>
      <c r="F104" s="19">
        <f>'Базовые концовки'!F34</f>
        <v>1209.61</v>
      </c>
      <c r="G104" s="19"/>
      <c r="H104" s="19"/>
      <c r="J104" s="8"/>
      <c r="N104" s="19"/>
      <c r="R104" s="19"/>
    </row>
    <row r="105" spans="2:18" ht="10.5">
      <c r="B105" s="9" t="s">
        <v>81</v>
      </c>
      <c r="E105" s="49"/>
      <c r="F105" s="45">
        <f>'Базовые концовки'!F35</f>
        <v>6557.54</v>
      </c>
      <c r="G105" s="45">
        <f>'Базовые концовки'!G35</f>
        <v>306.88</v>
      </c>
      <c r="H105" s="20">
        <f>'Базовые концовки'!H35</f>
        <v>190.02</v>
      </c>
      <c r="I105" s="50"/>
      <c r="J105" s="21">
        <f>'Базовые концовки'!J35</f>
        <v>27.746395</v>
      </c>
      <c r="N105" s="45">
        <f>'Базовые концовки'!L35</f>
        <v>6060.64</v>
      </c>
      <c r="R105" s="45">
        <f>'Базовые концовки'!M35</f>
        <v>0</v>
      </c>
    </row>
    <row r="106" spans="5:18" ht="10.5">
      <c r="E106" s="49"/>
      <c r="F106" s="45"/>
      <c r="G106" s="45"/>
      <c r="H106" s="19">
        <f>'Базовые концовки'!I35</f>
        <v>21.56</v>
      </c>
      <c r="I106" s="50"/>
      <c r="J106" s="8">
        <f>'Базовые концовки'!K35</f>
        <v>1.316875</v>
      </c>
      <c r="N106" s="45"/>
      <c r="R106" s="45"/>
    </row>
    <row r="107" spans="2:18" ht="10.5" hidden="1">
      <c r="B107" s="9" t="s">
        <v>72</v>
      </c>
      <c r="E107" s="18"/>
      <c r="F107" s="19">
        <f>'Базовые концовки'!F36</f>
        <v>0</v>
      </c>
      <c r="G107" s="19"/>
      <c r="H107" s="19"/>
      <c r="J107" s="8"/>
      <c r="N107" s="19"/>
      <c r="R107" s="19"/>
    </row>
    <row r="108" spans="2:18" ht="10.5">
      <c r="B108" s="9" t="s">
        <v>82</v>
      </c>
      <c r="E108" s="18"/>
      <c r="F108" s="19">
        <f>'Базовые концовки'!F37</f>
        <v>266.04</v>
      </c>
      <c r="G108" s="19"/>
      <c r="H108" s="19"/>
      <c r="J108" s="8"/>
      <c r="N108" s="19"/>
      <c r="R108" s="19"/>
    </row>
    <row r="109" spans="2:18" ht="10.5">
      <c r="B109" s="9" t="s">
        <v>83</v>
      </c>
      <c r="E109" s="18"/>
      <c r="F109" s="19">
        <f>'Базовые концовки'!F38</f>
        <v>236.48</v>
      </c>
      <c r="G109" s="19"/>
      <c r="H109" s="19"/>
      <c r="J109" s="8"/>
      <c r="N109" s="19"/>
      <c r="R109" s="19"/>
    </row>
    <row r="110" spans="2:18" ht="10.5">
      <c r="B110" s="9" t="s">
        <v>84</v>
      </c>
      <c r="E110" s="18"/>
      <c r="F110" s="19">
        <f>'Базовые концовки'!F39</f>
        <v>7060.06</v>
      </c>
      <c r="G110" s="19"/>
      <c r="H110" s="19"/>
      <c r="J110" s="8"/>
      <c r="N110" s="19"/>
      <c r="R110" s="19"/>
    </row>
    <row r="111" spans="2:18" ht="10.5" hidden="1">
      <c r="B111" s="9" t="s">
        <v>85</v>
      </c>
      <c r="E111" s="18"/>
      <c r="F111" s="19">
        <f>'Базовые концовки'!F40</f>
        <v>0</v>
      </c>
      <c r="G111" s="19">
        <f>'Базовые концовки'!G40</f>
        <v>0</v>
      </c>
      <c r="H111" s="19">
        <f>'Базовые концовки'!H40</f>
        <v>0</v>
      </c>
      <c r="J111" s="8">
        <f>'Базовые концовки'!J40</f>
        <v>0</v>
      </c>
      <c r="N111" s="19">
        <f>'Базовые концовки'!L40</f>
        <v>0</v>
      </c>
      <c r="R111" s="19">
        <f>'Базовые концовки'!M40</f>
        <v>0</v>
      </c>
    </row>
    <row r="112" spans="2:18" ht="10.5" hidden="1">
      <c r="B112" s="9" t="s">
        <v>68</v>
      </c>
      <c r="E112" s="18"/>
      <c r="F112" s="19"/>
      <c r="G112" s="19"/>
      <c r="H112" s="19"/>
      <c r="J112" s="8"/>
      <c r="N112" s="19"/>
      <c r="R112" s="19"/>
    </row>
    <row r="113" spans="2:18" ht="10.5" hidden="1">
      <c r="B113" s="9" t="s">
        <v>86</v>
      </c>
      <c r="E113" s="18"/>
      <c r="F113" s="19">
        <f>'Базовые концовки'!F42</f>
        <v>0</v>
      </c>
      <c r="G113" s="19"/>
      <c r="H113" s="19"/>
      <c r="J113" s="8"/>
      <c r="N113" s="19"/>
      <c r="R113" s="19"/>
    </row>
    <row r="114" spans="2:18" ht="10.5" hidden="1">
      <c r="B114" s="9" t="s">
        <v>72</v>
      </c>
      <c r="E114" s="18"/>
      <c r="F114" s="19">
        <f>'Базовые концовки'!F43</f>
        <v>0</v>
      </c>
      <c r="G114" s="19"/>
      <c r="H114" s="19"/>
      <c r="J114" s="8"/>
      <c r="N114" s="19"/>
      <c r="R114" s="19"/>
    </row>
    <row r="115" spans="2:18" ht="10.5" hidden="1">
      <c r="B115" s="9" t="s">
        <v>73</v>
      </c>
      <c r="E115" s="18"/>
      <c r="F115" s="19">
        <f>'Базовые концовки'!F44</f>
        <v>0</v>
      </c>
      <c r="G115" s="19"/>
      <c r="H115" s="19"/>
      <c r="J115" s="8"/>
      <c r="N115" s="19"/>
      <c r="R115" s="19"/>
    </row>
    <row r="116" spans="2:18" ht="10.5" hidden="1">
      <c r="B116" s="9" t="s">
        <v>74</v>
      </c>
      <c r="E116" s="18"/>
      <c r="F116" s="19">
        <f>'Базовые концовки'!F45</f>
        <v>0</v>
      </c>
      <c r="G116" s="19"/>
      <c r="H116" s="19"/>
      <c r="J116" s="8"/>
      <c r="N116" s="19"/>
      <c r="R116" s="19"/>
    </row>
    <row r="117" spans="2:18" ht="10.5" hidden="1">
      <c r="B117" s="9" t="s">
        <v>65</v>
      </c>
      <c r="E117" s="18"/>
      <c r="F117" s="19">
        <f>'Базовые концовки'!F46</f>
        <v>0</v>
      </c>
      <c r="G117" s="19"/>
      <c r="H117" s="19"/>
      <c r="J117" s="8"/>
      <c r="N117" s="19"/>
      <c r="R117" s="19"/>
    </row>
    <row r="118" spans="2:18" ht="10.5" hidden="1">
      <c r="B118" s="9" t="s">
        <v>87</v>
      </c>
      <c r="E118" s="18"/>
      <c r="F118" s="19">
        <f>'Базовые концовки'!F47</f>
        <v>0</v>
      </c>
      <c r="G118" s="19"/>
      <c r="H118" s="19"/>
      <c r="J118" s="8"/>
      <c r="N118" s="19"/>
      <c r="R118" s="19"/>
    </row>
    <row r="119" spans="2:18" ht="10.5" hidden="1">
      <c r="B119" s="9" t="s">
        <v>88</v>
      </c>
      <c r="E119" s="18"/>
      <c r="F119" s="19">
        <f>'Базовые концовки'!F48</f>
        <v>0</v>
      </c>
      <c r="G119" s="19">
        <f>'Базовые концовки'!G48</f>
        <v>0</v>
      </c>
      <c r="H119" s="19">
        <f>'Базовые концовки'!H48</f>
        <v>0</v>
      </c>
      <c r="J119" s="8">
        <f>'Базовые концовки'!J48</f>
        <v>0</v>
      </c>
      <c r="N119" s="19">
        <f>'Базовые концовки'!L48</f>
        <v>0</v>
      </c>
      <c r="R119" s="19">
        <f>'Базовые концовки'!M48</f>
        <v>0</v>
      </c>
    </row>
    <row r="120" spans="2:18" ht="10.5" hidden="1">
      <c r="B120" s="9" t="s">
        <v>72</v>
      </c>
      <c r="E120" s="18"/>
      <c r="F120" s="19">
        <f>'Базовые концовки'!F49</f>
        <v>0</v>
      </c>
      <c r="G120" s="19"/>
      <c r="H120" s="19"/>
      <c r="J120" s="8"/>
      <c r="N120" s="19"/>
      <c r="R120" s="19"/>
    </row>
    <row r="121" spans="2:18" ht="10.5" hidden="1">
      <c r="B121" s="9" t="s">
        <v>73</v>
      </c>
      <c r="E121" s="18"/>
      <c r="F121" s="19">
        <f>'Базовые концовки'!F50</f>
        <v>0</v>
      </c>
      <c r="G121" s="19"/>
      <c r="H121" s="19"/>
      <c r="J121" s="8"/>
      <c r="N121" s="19"/>
      <c r="R121" s="19"/>
    </row>
    <row r="122" spans="2:18" ht="10.5" hidden="1">
      <c r="B122" s="9" t="s">
        <v>74</v>
      </c>
      <c r="E122" s="18"/>
      <c r="F122" s="19">
        <f>'Базовые концовки'!F51</f>
        <v>0</v>
      </c>
      <c r="G122" s="19"/>
      <c r="H122" s="19"/>
      <c r="J122" s="8"/>
      <c r="N122" s="19"/>
      <c r="R122" s="19"/>
    </row>
    <row r="123" spans="2:18" ht="10.5" hidden="1">
      <c r="B123" s="9" t="s">
        <v>89</v>
      </c>
      <c r="E123" s="18"/>
      <c r="F123" s="19">
        <f>'Базовые концовки'!F52</f>
        <v>0</v>
      </c>
      <c r="G123" s="19"/>
      <c r="H123" s="19"/>
      <c r="J123" s="8"/>
      <c r="N123" s="19"/>
      <c r="R123" s="19"/>
    </row>
    <row r="124" spans="2:18" ht="10.5" hidden="1">
      <c r="B124" s="9" t="s">
        <v>90</v>
      </c>
      <c r="E124" s="18"/>
      <c r="F124" s="19">
        <f>'Базовые концовки'!F53</f>
        <v>0</v>
      </c>
      <c r="G124" s="19">
        <f>'Базовые концовки'!G53</f>
        <v>0</v>
      </c>
      <c r="H124" s="19">
        <f>'Базовые концовки'!H53</f>
        <v>0</v>
      </c>
      <c r="J124" s="8">
        <f>'Базовые концовки'!J53</f>
        <v>0</v>
      </c>
      <c r="N124" s="19">
        <f>'Базовые концовки'!L53</f>
        <v>0</v>
      </c>
      <c r="R124" s="19">
        <f>'Базовые концовки'!M53</f>
        <v>0</v>
      </c>
    </row>
    <row r="125" spans="2:18" ht="10.5" hidden="1">
      <c r="B125" s="9" t="s">
        <v>72</v>
      </c>
      <c r="E125" s="18"/>
      <c r="F125" s="19">
        <f>'Базовые концовки'!F54</f>
        <v>0</v>
      </c>
      <c r="G125" s="19"/>
      <c r="H125" s="19"/>
      <c r="J125" s="8"/>
      <c r="N125" s="19"/>
      <c r="R125" s="19"/>
    </row>
    <row r="126" spans="2:18" ht="10.5" hidden="1">
      <c r="B126" s="9" t="s">
        <v>73</v>
      </c>
      <c r="E126" s="18"/>
      <c r="F126" s="19">
        <f>'Базовые концовки'!F55</f>
        <v>0</v>
      </c>
      <c r="G126" s="19"/>
      <c r="H126" s="19"/>
      <c r="J126" s="8"/>
      <c r="N126" s="19"/>
      <c r="R126" s="19"/>
    </row>
    <row r="127" spans="2:18" ht="10.5" hidden="1">
      <c r="B127" s="9" t="s">
        <v>74</v>
      </c>
      <c r="E127" s="18"/>
      <c r="F127" s="19">
        <f>'Базовые концовки'!F56</f>
        <v>0</v>
      </c>
      <c r="G127" s="19"/>
      <c r="H127" s="19"/>
      <c r="J127" s="8"/>
      <c r="N127" s="19"/>
      <c r="R127" s="19"/>
    </row>
    <row r="128" spans="2:18" ht="10.5" hidden="1">
      <c r="B128" s="9" t="s">
        <v>91</v>
      </c>
      <c r="E128" s="18"/>
      <c r="F128" s="19">
        <f>'Базовые концовки'!F57</f>
        <v>0</v>
      </c>
      <c r="G128" s="19"/>
      <c r="H128" s="19"/>
      <c r="J128" s="8"/>
      <c r="N128" s="19"/>
      <c r="R128" s="19"/>
    </row>
    <row r="129" spans="2:18" ht="10.5" hidden="1">
      <c r="B129" s="9" t="s">
        <v>92</v>
      </c>
      <c r="E129" s="18"/>
      <c r="F129" s="19">
        <f>'Базовые концовки'!F58</f>
        <v>0</v>
      </c>
      <c r="G129" s="19">
        <f>'Базовые концовки'!G58</f>
        <v>0</v>
      </c>
      <c r="H129" s="19">
        <f>'Базовые концовки'!H58</f>
        <v>0</v>
      </c>
      <c r="J129" s="8">
        <f>'Базовые концовки'!J58</f>
        <v>0</v>
      </c>
      <c r="N129" s="19">
        <f>'Базовые концовки'!L58</f>
        <v>0</v>
      </c>
      <c r="R129" s="19">
        <f>'Базовые концовки'!M58</f>
        <v>0</v>
      </c>
    </row>
    <row r="130" spans="2:18" ht="10.5" hidden="1">
      <c r="B130" s="9" t="s">
        <v>68</v>
      </c>
      <c r="E130" s="18"/>
      <c r="F130" s="19"/>
      <c r="G130" s="19"/>
      <c r="H130" s="19"/>
      <c r="J130" s="8"/>
      <c r="N130" s="19"/>
      <c r="R130" s="19"/>
    </row>
    <row r="131" spans="2:18" ht="10.5" hidden="1">
      <c r="B131" s="9" t="s">
        <v>93</v>
      </c>
      <c r="E131" s="18"/>
      <c r="F131" s="19">
        <f>'Базовые концовки'!F60</f>
        <v>5938.3</v>
      </c>
      <c r="G131" s="19"/>
      <c r="H131" s="19"/>
      <c r="J131" s="8"/>
      <c r="N131" s="19"/>
      <c r="R131" s="19"/>
    </row>
    <row r="132" spans="2:18" ht="10.5" hidden="1">
      <c r="B132" s="9" t="s">
        <v>72</v>
      </c>
      <c r="E132" s="18"/>
      <c r="F132" s="19">
        <f>'Базовые концовки'!F61</f>
        <v>0</v>
      </c>
      <c r="G132" s="19"/>
      <c r="H132" s="19"/>
      <c r="J132" s="8"/>
      <c r="N132" s="19"/>
      <c r="R132" s="19"/>
    </row>
    <row r="133" spans="2:18" ht="10.5" hidden="1">
      <c r="B133" s="9" t="s">
        <v>94</v>
      </c>
      <c r="E133" s="18"/>
      <c r="F133" s="19">
        <f>'Базовые концовки'!F62</f>
        <v>0</v>
      </c>
      <c r="G133" s="19"/>
      <c r="H133" s="19"/>
      <c r="J133" s="8"/>
      <c r="N133" s="19"/>
      <c r="R133" s="19"/>
    </row>
    <row r="134" spans="2:18" ht="10.5" hidden="1">
      <c r="B134" s="9" t="s">
        <v>74</v>
      </c>
      <c r="E134" s="18"/>
      <c r="F134" s="19">
        <f>'Базовые концовки'!F63</f>
        <v>0</v>
      </c>
      <c r="G134" s="19"/>
      <c r="H134" s="19"/>
      <c r="J134" s="8"/>
      <c r="N134" s="19"/>
      <c r="R134" s="19"/>
    </row>
    <row r="135" spans="2:18" ht="10.5" hidden="1">
      <c r="B135" s="9" t="s">
        <v>95</v>
      </c>
      <c r="E135" s="18"/>
      <c r="F135" s="19">
        <f>'Базовые концовки'!F64</f>
        <v>0</v>
      </c>
      <c r="G135" s="19"/>
      <c r="H135" s="19"/>
      <c r="J135" s="8"/>
      <c r="N135" s="19"/>
      <c r="R135" s="19"/>
    </row>
    <row r="136" spans="2:18" ht="10.5" hidden="1">
      <c r="B136" s="9" t="s">
        <v>96</v>
      </c>
      <c r="E136" s="18"/>
      <c r="F136" s="19">
        <f>'Базовые концовки'!F65</f>
        <v>0</v>
      </c>
      <c r="G136" s="19">
        <f>'Базовые концовки'!G65</f>
        <v>0</v>
      </c>
      <c r="H136" s="19">
        <f>'Базовые концовки'!H65</f>
        <v>0</v>
      </c>
      <c r="J136" s="8">
        <f>'Базовые концовки'!J65</f>
        <v>0</v>
      </c>
      <c r="N136" s="19">
        <f>'Базовые концовки'!L65</f>
        <v>0</v>
      </c>
      <c r="R136" s="19">
        <f>'Базовые концовки'!M65</f>
        <v>0</v>
      </c>
    </row>
    <row r="137" spans="2:18" ht="10.5" hidden="1">
      <c r="B137" s="9" t="s">
        <v>94</v>
      </c>
      <c r="E137" s="18"/>
      <c r="F137" s="19">
        <f>'Базовые концовки'!F66</f>
        <v>0</v>
      </c>
      <c r="G137" s="19"/>
      <c r="H137" s="19"/>
      <c r="J137" s="8"/>
      <c r="N137" s="19"/>
      <c r="R137" s="19"/>
    </row>
    <row r="138" spans="2:18" ht="10.5" hidden="1">
      <c r="B138" s="9" t="s">
        <v>74</v>
      </c>
      <c r="E138" s="18"/>
      <c r="F138" s="19">
        <f>'Базовые концовки'!F67</f>
        <v>0</v>
      </c>
      <c r="G138" s="19"/>
      <c r="H138" s="19"/>
      <c r="J138" s="8"/>
      <c r="N138" s="19"/>
      <c r="R138" s="19"/>
    </row>
    <row r="139" spans="2:18" ht="10.5" hidden="1">
      <c r="B139" s="9" t="s">
        <v>97</v>
      </c>
      <c r="E139" s="18"/>
      <c r="F139" s="19">
        <f>'Базовые концовки'!F68</f>
        <v>0</v>
      </c>
      <c r="G139" s="19"/>
      <c r="H139" s="19"/>
      <c r="J139" s="8"/>
      <c r="N139" s="19"/>
      <c r="R139" s="19"/>
    </row>
    <row r="140" spans="2:18" ht="10.5" hidden="1">
      <c r="B140" s="9" t="s">
        <v>98</v>
      </c>
      <c r="E140" s="18"/>
      <c r="F140" s="19">
        <f>'Базовые концовки'!F69</f>
        <v>0</v>
      </c>
      <c r="G140" s="19">
        <f>'Базовые концовки'!G69</f>
        <v>0</v>
      </c>
      <c r="H140" s="19">
        <f>'Базовые концовки'!H69</f>
        <v>0</v>
      </c>
      <c r="J140" s="8">
        <f>'Базовые концовки'!J69</f>
        <v>0</v>
      </c>
      <c r="N140" s="19">
        <f>'Базовые концовки'!L69</f>
        <v>0</v>
      </c>
      <c r="R140" s="19">
        <f>'Базовые концовки'!M69</f>
        <v>0</v>
      </c>
    </row>
    <row r="141" spans="2:18" ht="10.5" hidden="1">
      <c r="B141" s="9" t="s">
        <v>72</v>
      </c>
      <c r="E141" s="18"/>
      <c r="F141" s="19">
        <f>'Базовые концовки'!F70</f>
        <v>0</v>
      </c>
      <c r="G141" s="19"/>
      <c r="H141" s="19"/>
      <c r="J141" s="8"/>
      <c r="N141" s="19"/>
      <c r="R141" s="19"/>
    </row>
    <row r="142" spans="2:18" ht="10.5" hidden="1">
      <c r="B142" s="9" t="s">
        <v>94</v>
      </c>
      <c r="E142" s="18"/>
      <c r="F142" s="19">
        <f>'Базовые концовки'!F71</f>
        <v>0</v>
      </c>
      <c r="G142" s="19"/>
      <c r="H142" s="19"/>
      <c r="J142" s="8"/>
      <c r="N142" s="19"/>
      <c r="R142" s="19"/>
    </row>
    <row r="143" spans="2:18" ht="10.5" hidden="1">
      <c r="B143" s="9" t="s">
        <v>74</v>
      </c>
      <c r="E143" s="18"/>
      <c r="F143" s="19">
        <f>'Базовые концовки'!F72</f>
        <v>0</v>
      </c>
      <c r="G143" s="19"/>
      <c r="H143" s="19"/>
      <c r="J143" s="8"/>
      <c r="N143" s="19"/>
      <c r="R143" s="19"/>
    </row>
    <row r="144" spans="2:18" ht="10.5" hidden="1">
      <c r="B144" s="9" t="s">
        <v>99</v>
      </c>
      <c r="E144" s="18"/>
      <c r="F144" s="19">
        <f>'Базовые концовки'!F73</f>
        <v>0</v>
      </c>
      <c r="G144" s="19"/>
      <c r="H144" s="19"/>
      <c r="J144" s="8"/>
      <c r="N144" s="19"/>
      <c r="R144" s="19"/>
    </row>
    <row r="145" spans="2:18" ht="10.5" hidden="1">
      <c r="B145" s="9" t="s">
        <v>100</v>
      </c>
      <c r="E145" s="18"/>
      <c r="F145" s="19">
        <f>'Базовые концовки'!F74</f>
        <v>0</v>
      </c>
      <c r="G145" s="19">
        <f>'Базовые концовки'!G74</f>
        <v>0</v>
      </c>
      <c r="H145" s="19">
        <f>'Базовые концовки'!H74</f>
        <v>0</v>
      </c>
      <c r="J145" s="8">
        <f>'Базовые концовки'!J74</f>
        <v>0</v>
      </c>
      <c r="N145" s="19">
        <f>'Базовые концовки'!L74</f>
        <v>0</v>
      </c>
      <c r="R145" s="19">
        <f>'Базовые концовки'!M74</f>
        <v>0</v>
      </c>
    </row>
    <row r="146" spans="2:18" ht="10.5" hidden="1">
      <c r="B146" s="9" t="s">
        <v>72</v>
      </c>
      <c r="E146" s="18"/>
      <c r="F146" s="19">
        <f>'Базовые концовки'!F75</f>
        <v>0</v>
      </c>
      <c r="G146" s="19"/>
      <c r="H146" s="19"/>
      <c r="J146" s="8"/>
      <c r="N146" s="19"/>
      <c r="R146" s="19"/>
    </row>
    <row r="147" spans="2:18" ht="10.5">
      <c r="B147" s="9" t="s">
        <v>101</v>
      </c>
      <c r="E147" s="18"/>
      <c r="F147" s="19">
        <f>'Базовые концовки'!F76</f>
        <v>8269.67</v>
      </c>
      <c r="G147" s="19">
        <f>'Базовые концовки'!G76</f>
        <v>0</v>
      </c>
      <c r="H147" s="19">
        <f>'Базовые концовки'!H76</f>
        <v>0</v>
      </c>
      <c r="J147" s="8">
        <f>'Базовые концовки'!J76</f>
        <v>0</v>
      </c>
      <c r="N147" s="19">
        <f>'Базовые концовки'!L76</f>
        <v>0</v>
      </c>
      <c r="R147" s="19">
        <f>'Базовые концовки'!M76</f>
        <v>0</v>
      </c>
    </row>
    <row r="148" spans="2:18" ht="10.5" hidden="1">
      <c r="B148" s="9" t="s">
        <v>102</v>
      </c>
      <c r="E148" s="18"/>
      <c r="F148" s="19">
        <f>'Базовые концовки'!F77</f>
        <v>0</v>
      </c>
      <c r="G148" s="19"/>
      <c r="H148" s="19"/>
      <c r="J148" s="8"/>
      <c r="N148" s="19"/>
      <c r="R148" s="19"/>
    </row>
    <row r="149" spans="2:18" ht="10.5">
      <c r="B149" s="9" t="s">
        <v>103</v>
      </c>
      <c r="E149" s="18"/>
      <c r="F149" s="19">
        <f>'Базовые концовки'!F78</f>
        <v>469.67</v>
      </c>
      <c r="G149" s="19"/>
      <c r="H149" s="19"/>
      <c r="J149" s="8"/>
      <c r="N149" s="19"/>
      <c r="R149" s="19"/>
    </row>
    <row r="150" spans="2:18" ht="10.5">
      <c r="B150" s="9" t="s">
        <v>104</v>
      </c>
      <c r="E150" s="18"/>
      <c r="F150" s="19">
        <f>'Базовые концовки'!F79</f>
        <v>343.01</v>
      </c>
      <c r="G150" s="19"/>
      <c r="H150" s="19"/>
      <c r="J150" s="8"/>
      <c r="N150" s="19"/>
      <c r="R150" s="19"/>
    </row>
    <row r="151" spans="2:18" ht="10.5">
      <c r="B151" s="9" t="s">
        <v>105</v>
      </c>
      <c r="E151" s="18">
        <v>3.74</v>
      </c>
      <c r="F151" s="19">
        <f>'Базовые концовки'!F80</f>
        <v>30928.57</v>
      </c>
      <c r="G151" s="19"/>
      <c r="H151" s="19"/>
      <c r="J151" s="8"/>
      <c r="N151" s="19"/>
      <c r="R151" s="19"/>
    </row>
    <row r="152" spans="2:18" ht="10.5">
      <c r="B152" s="9" t="s">
        <v>106</v>
      </c>
      <c r="E152" s="18">
        <v>18</v>
      </c>
      <c r="F152" s="19">
        <f>'Базовые концовки'!F81</f>
        <v>5567.14</v>
      </c>
      <c r="G152" s="19"/>
      <c r="H152" s="19"/>
      <c r="J152" s="8"/>
      <c r="N152" s="19"/>
      <c r="R152" s="19"/>
    </row>
    <row r="153" spans="2:18" ht="10.5">
      <c r="B153" s="9" t="s">
        <v>107</v>
      </c>
      <c r="E153" s="18"/>
      <c r="F153" s="19">
        <f>'Базовые концовки'!F82</f>
        <v>36495.71</v>
      </c>
      <c r="G153" s="19"/>
      <c r="H153" s="19"/>
      <c r="J153" s="8"/>
      <c r="N153" s="19"/>
      <c r="R153" s="19"/>
    </row>
    <row r="154" spans="2:18" ht="10.5" hidden="1">
      <c r="B154" s="9" t="s">
        <v>108</v>
      </c>
      <c r="E154" s="18"/>
      <c r="F154" s="19"/>
      <c r="G154" s="19"/>
      <c r="H154" s="19"/>
      <c r="J154" s="8"/>
      <c r="N154" s="19">
        <f>'Базовые концовки'!L83</f>
        <v>0</v>
      </c>
      <c r="R154" s="19"/>
    </row>
    <row r="155" spans="2:18" ht="10.5" hidden="1">
      <c r="B155" s="9" t="s">
        <v>109</v>
      </c>
      <c r="E155" s="18"/>
      <c r="F155" s="19">
        <f>'Базовые концовки'!F84</f>
        <v>519.59</v>
      </c>
      <c r="G155" s="19"/>
      <c r="H155" s="19"/>
      <c r="J155" s="8"/>
      <c r="N155" s="19"/>
      <c r="R155" s="19"/>
    </row>
    <row r="156" spans="2:18" ht="10.5" hidden="1">
      <c r="B156" s="9" t="s">
        <v>110</v>
      </c>
      <c r="E156" s="18"/>
      <c r="F156" s="19">
        <f>'Базовые концовки'!F85</f>
        <v>25.22</v>
      </c>
      <c r="G156" s="19"/>
      <c r="H156" s="19"/>
      <c r="J156" s="8"/>
      <c r="N156" s="19"/>
      <c r="R156" s="19"/>
    </row>
    <row r="157" spans="2:18" ht="10.5" hidden="1">
      <c r="B157" s="9" t="s">
        <v>111</v>
      </c>
      <c r="E157" s="18"/>
      <c r="F157" s="19">
        <f>'Базовые концовки'!F86</f>
        <v>544.81</v>
      </c>
      <c r="G157" s="19"/>
      <c r="H157" s="19"/>
      <c r="J157" s="8"/>
      <c r="N157" s="19"/>
      <c r="R157" s="19"/>
    </row>
    <row r="158" spans="2:18" ht="10.5" hidden="1">
      <c r="B158" s="9" t="s">
        <v>112</v>
      </c>
      <c r="E158" s="18"/>
      <c r="F158" s="19"/>
      <c r="G158" s="19"/>
      <c r="H158" s="19"/>
      <c r="J158" s="8">
        <f>'Базовые концовки'!J87</f>
        <v>47.1435964</v>
      </c>
      <c r="N158" s="19"/>
      <c r="R158" s="19"/>
    </row>
    <row r="159" spans="2:18" ht="10.5" hidden="1">
      <c r="B159" s="9" t="s">
        <v>113</v>
      </c>
      <c r="E159" s="18"/>
      <c r="F159" s="19"/>
      <c r="G159" s="19"/>
      <c r="H159" s="19"/>
      <c r="J159" s="8">
        <f>'Базовые концовки'!J88</f>
        <v>1.5420725</v>
      </c>
      <c r="N159" s="19"/>
      <c r="R159" s="19"/>
    </row>
    <row r="160" spans="2:18" ht="10.5" hidden="1">
      <c r="B160" s="9" t="s">
        <v>114</v>
      </c>
      <c r="E160" s="18"/>
      <c r="F160" s="19"/>
      <c r="G160" s="19"/>
      <c r="H160" s="19"/>
      <c r="J160" s="8">
        <f>'Базовые концовки'!J89</f>
        <v>48.6856689</v>
      </c>
      <c r="N160" s="19"/>
      <c r="R160" s="19"/>
    </row>
    <row r="162" spans="2:12" ht="10.5">
      <c r="B162" s="43" t="s">
        <v>115</v>
      </c>
      <c r="C162" s="64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2:12" ht="10.5">
      <c r="B163" s="42"/>
      <c r="C163" s="66" t="s">
        <v>307</v>
      </c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2:12" ht="10.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ht="10.5">
      <c r="A165" s="22"/>
      <c r="B165" s="43" t="s">
        <v>116</v>
      </c>
      <c r="C165" s="64"/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2:12" ht="10.5">
      <c r="B166" s="42"/>
      <c r="C166" s="67" t="s">
        <v>307</v>
      </c>
      <c r="D166" s="67"/>
      <c r="E166" s="67"/>
      <c r="F166" s="67"/>
      <c r="G166" s="67"/>
      <c r="H166" s="67"/>
      <c r="I166" s="67"/>
      <c r="J166" s="67"/>
      <c r="K166" s="67"/>
      <c r="L166" s="67"/>
    </row>
  </sheetData>
  <mergeCells count="86">
    <mergeCell ref="C162:L162"/>
    <mergeCell ref="C163:L163"/>
    <mergeCell ref="C165:L165"/>
    <mergeCell ref="C166:L166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F22:H22"/>
    <mergeCell ref="I22:J22"/>
    <mergeCell ref="I23:J23"/>
    <mergeCell ref="A9:D9"/>
    <mergeCell ref="F9:I9"/>
    <mergeCell ref="A13:J13"/>
    <mergeCell ref="A15:J15"/>
    <mergeCell ref="A14:J14"/>
    <mergeCell ref="B26:B27"/>
    <mergeCell ref="C26:C27"/>
    <mergeCell ref="G26:G27"/>
    <mergeCell ref="A20:J20"/>
    <mergeCell ref="A22:A24"/>
    <mergeCell ref="B22:B24"/>
    <mergeCell ref="C22:C24"/>
    <mergeCell ref="D22:E22"/>
    <mergeCell ref="F23:F24"/>
    <mergeCell ref="G23:G24"/>
    <mergeCell ref="N26:N27"/>
    <mergeCell ref="F26:F27"/>
    <mergeCell ref="B28:J28"/>
    <mergeCell ref="A36:A37"/>
    <mergeCell ref="B36:B37"/>
    <mergeCell ref="C36:C37"/>
    <mergeCell ref="G36:G37"/>
    <mergeCell ref="N36:N37"/>
    <mergeCell ref="F36:F37"/>
    <mergeCell ref="A26:A27"/>
    <mergeCell ref="N55:N56"/>
    <mergeCell ref="F55:F56"/>
    <mergeCell ref="A45:A46"/>
    <mergeCell ref="B45:B46"/>
    <mergeCell ref="C45:C46"/>
    <mergeCell ref="G45:G46"/>
    <mergeCell ref="F45:F46"/>
    <mergeCell ref="B47:J47"/>
    <mergeCell ref="A55:A56"/>
    <mergeCell ref="B55:B56"/>
    <mergeCell ref="C55:C56"/>
    <mergeCell ref="G55:G56"/>
    <mergeCell ref="A65:A66"/>
    <mergeCell ref="B65:B66"/>
    <mergeCell ref="C65:C66"/>
    <mergeCell ref="G65:G66"/>
    <mergeCell ref="F65:F66"/>
    <mergeCell ref="B67:J67"/>
    <mergeCell ref="E75:E76"/>
    <mergeCell ref="F75:F76"/>
    <mergeCell ref="G75:G76"/>
    <mergeCell ref="I75:I76"/>
    <mergeCell ref="E97:E98"/>
    <mergeCell ref="F97:F98"/>
    <mergeCell ref="G97:G98"/>
    <mergeCell ref="N97:N98"/>
    <mergeCell ref="I97:I98"/>
    <mergeCell ref="E105:E106"/>
    <mergeCell ref="F105:F106"/>
    <mergeCell ref="G105:G106"/>
    <mergeCell ref="N105:N106"/>
    <mergeCell ref="I105:I106"/>
    <mergeCell ref="R105:R106"/>
    <mergeCell ref="H17:I17"/>
    <mergeCell ref="H18:I18"/>
    <mergeCell ref="H19:I19"/>
    <mergeCell ref="R75:R76"/>
    <mergeCell ref="R97:R98"/>
    <mergeCell ref="N65:N66"/>
    <mergeCell ref="N75:N76"/>
    <mergeCell ref="B57:J57"/>
    <mergeCell ref="N45:N46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0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5" customWidth="1"/>
  </cols>
  <sheetData>
    <row r="1" spans="1:30" s="26" customFormat="1" ht="10.5">
      <c r="A1" s="27"/>
      <c r="B1" s="28" t="s">
        <v>117</v>
      </c>
      <c r="C1" s="28" t="s">
        <v>118</v>
      </c>
      <c r="D1" s="28" t="s">
        <v>119</v>
      </c>
      <c r="E1" s="28" t="s">
        <v>120</v>
      </c>
      <c r="F1" s="28" t="s">
        <v>121</v>
      </c>
      <c r="G1" s="28" t="s">
        <v>122</v>
      </c>
      <c r="H1" s="28" t="s">
        <v>123</v>
      </c>
      <c r="I1" s="28" t="s">
        <v>124</v>
      </c>
      <c r="J1" s="28" t="s">
        <v>125</v>
      </c>
      <c r="K1" s="28" t="s">
        <v>126</v>
      </c>
      <c r="L1" s="28" t="s">
        <v>127</v>
      </c>
      <c r="M1" s="28" t="s">
        <v>128</v>
      </c>
      <c r="N1" s="28" t="s">
        <v>129</v>
      </c>
      <c r="O1" s="28" t="s">
        <v>130</v>
      </c>
      <c r="P1" s="28" t="s">
        <v>131</v>
      </c>
      <c r="Q1" s="28" t="s">
        <v>132</v>
      </c>
      <c r="R1" s="28" t="s">
        <v>133</v>
      </c>
      <c r="S1" s="28" t="s">
        <v>134</v>
      </c>
      <c r="T1" s="28" t="s">
        <v>135</v>
      </c>
      <c r="U1" s="28" t="s">
        <v>136</v>
      </c>
      <c r="V1" s="28" t="s">
        <v>137</v>
      </c>
      <c r="W1" s="28"/>
      <c r="X1" s="28" t="s">
        <v>138</v>
      </c>
      <c r="Y1" s="28" t="s">
        <v>139</v>
      </c>
      <c r="Z1" s="28" t="s">
        <v>140</v>
      </c>
      <c r="AA1" s="28" t="s">
        <v>141</v>
      </c>
      <c r="AB1" s="28" t="s">
        <v>142</v>
      </c>
      <c r="AC1" s="28" t="s">
        <v>143</v>
      </c>
      <c r="AD1" s="28" t="s">
        <v>144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145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146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30" ht="10.5">
      <c r="A6" s="23" t="str">
        <f>'Форма 4'!A26</f>
        <v>1.</v>
      </c>
      <c r="B6" s="23">
        <f>ROUND(C6+D6+F6,2)</f>
        <v>1440.07</v>
      </c>
      <c r="C6" s="23">
        <f>'Форма 4'!D27</f>
        <v>713.67</v>
      </c>
      <c r="D6" s="23">
        <f>'Форма 4'!E26</f>
        <v>441.9</v>
      </c>
      <c r="E6" s="23">
        <f>'Форма 4'!E27</f>
        <v>50.15</v>
      </c>
      <c r="F6" s="23">
        <v>284.5</v>
      </c>
      <c r="G6" s="23">
        <v>0</v>
      </c>
      <c r="H6" s="23">
        <v>0</v>
      </c>
      <c r="I6" s="24">
        <f>'Форма 4'!I26</f>
        <v>64.5265</v>
      </c>
      <c r="J6" s="24">
        <v>0</v>
      </c>
      <c r="K6" s="24">
        <f>'Форма 4'!I27</f>
        <v>3.0625</v>
      </c>
      <c r="L6" s="23">
        <v>0</v>
      </c>
      <c r="M6" s="23">
        <v>0</v>
      </c>
      <c r="N6" s="23">
        <v>618.6942</v>
      </c>
      <c r="O6" s="23">
        <v>549.9504</v>
      </c>
      <c r="P6" s="23">
        <v>578.0727</v>
      </c>
      <c r="Q6" s="23">
        <v>40.6215</v>
      </c>
      <c r="R6" s="23">
        <v>513.8424</v>
      </c>
      <c r="S6" s="23">
        <v>36.108</v>
      </c>
      <c r="T6" s="23">
        <v>0</v>
      </c>
      <c r="U6" s="23">
        <v>0</v>
      </c>
      <c r="V6" s="23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</row>
    <row r="7" spans="1:30" ht="10.5">
      <c r="A7" s="23" t="str">
        <f>'Форма 4'!A36</f>
        <v>2.</v>
      </c>
      <c r="B7" s="23">
        <f>ROUND(C7+D7+F7,2)</f>
        <v>13810</v>
      </c>
      <c r="C7" s="23">
        <f>'Форма 4'!D37</f>
        <v>0</v>
      </c>
      <c r="D7" s="23">
        <f>'Форма 4'!E36</f>
        <v>0</v>
      </c>
      <c r="E7" s="23">
        <f>'Форма 4'!E37</f>
        <v>0</v>
      </c>
      <c r="F7" s="23">
        <v>13810</v>
      </c>
      <c r="G7" s="23">
        <v>13430</v>
      </c>
      <c r="H7" s="23">
        <v>0</v>
      </c>
      <c r="I7" s="24">
        <f>'Форма 4'!I36</f>
        <v>0</v>
      </c>
      <c r="J7" s="24">
        <v>0</v>
      </c>
      <c r="K7" s="24">
        <f>'Форма 4'!I37</f>
        <v>0</v>
      </c>
      <c r="L7" s="23">
        <v>7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</row>
    <row r="8" spans="1:30" ht="10.5">
      <c r="A8" s="23" t="str">
        <f>'Форма 4'!A45</f>
        <v>3.</v>
      </c>
      <c r="B8" s="23">
        <f>ROUND(C8+D8+F8,2)</f>
        <v>1338</v>
      </c>
      <c r="C8" s="23">
        <f>'Форма 4'!D46</f>
        <v>1338</v>
      </c>
      <c r="D8" s="23">
        <f>'Форма 4'!E45</f>
        <v>0</v>
      </c>
      <c r="E8" s="23">
        <f>'Форма 4'!E46</f>
        <v>0</v>
      </c>
      <c r="F8" s="23">
        <v>0</v>
      </c>
      <c r="G8" s="23">
        <v>0</v>
      </c>
      <c r="H8" s="23">
        <v>0</v>
      </c>
      <c r="I8" s="24">
        <f>'Форма 4'!I45</f>
        <v>135.7</v>
      </c>
      <c r="J8" s="24">
        <v>0</v>
      </c>
      <c r="K8" s="24">
        <f>'Форма 4'!I46</f>
        <v>0</v>
      </c>
      <c r="L8" s="23">
        <v>0</v>
      </c>
      <c r="M8" s="23">
        <v>0</v>
      </c>
      <c r="N8" s="23">
        <v>1070.4</v>
      </c>
      <c r="O8" s="23">
        <v>508.44</v>
      </c>
      <c r="P8" s="23">
        <v>1070.4</v>
      </c>
      <c r="Q8" s="23">
        <v>0</v>
      </c>
      <c r="R8" s="23">
        <v>508.44</v>
      </c>
      <c r="S8" s="23">
        <v>0</v>
      </c>
      <c r="T8" s="23">
        <v>0</v>
      </c>
      <c r="U8" s="23">
        <v>0</v>
      </c>
      <c r="V8" s="23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</row>
    <row r="9" spans="1:30" ht="10.5">
      <c r="A9" s="23" t="str">
        <f>'Форма 4'!A55</f>
        <v>4.</v>
      </c>
      <c r="B9" s="23">
        <f>ROUND(C9+D9+F9,2)</f>
        <v>707.94</v>
      </c>
      <c r="C9" s="23">
        <f>'Форма 4'!D56</f>
        <v>74.16</v>
      </c>
      <c r="D9" s="23">
        <f>'Форма 4'!E55</f>
        <v>24.1</v>
      </c>
      <c r="E9" s="23">
        <f>'Форма 4'!E56</f>
        <v>3.79</v>
      </c>
      <c r="F9" s="23">
        <v>609.68</v>
      </c>
      <c r="G9" s="23">
        <v>0</v>
      </c>
      <c r="H9" s="23">
        <v>0</v>
      </c>
      <c r="I9" s="24">
        <f>'Форма 4'!I55</f>
        <v>6.87999</v>
      </c>
      <c r="J9" s="24">
        <v>0</v>
      </c>
      <c r="K9" s="24">
        <f>'Форма 4'!I56</f>
        <v>0.23275</v>
      </c>
      <c r="L9" s="23">
        <v>0</v>
      </c>
      <c r="M9" s="23">
        <v>0</v>
      </c>
      <c r="N9" s="23">
        <v>74.0525</v>
      </c>
      <c r="O9" s="23">
        <v>42.8725</v>
      </c>
      <c r="P9" s="23">
        <v>70.452</v>
      </c>
      <c r="Q9" s="23">
        <v>3.6005</v>
      </c>
      <c r="R9" s="23">
        <v>40.788</v>
      </c>
      <c r="S9" s="23">
        <v>2.0845</v>
      </c>
      <c r="T9" s="23">
        <v>0</v>
      </c>
      <c r="U9" s="23">
        <v>0</v>
      </c>
      <c r="V9" s="23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0.5">
      <c r="A10" s="23" t="str">
        <f>'Форма 4'!A65</f>
        <v>5.</v>
      </c>
      <c r="B10" s="23">
        <f>ROUND(C10+D10+F10,2)</f>
        <v>1472.21</v>
      </c>
      <c r="C10" s="23">
        <f>'Форма 4'!D66</f>
        <v>915.25</v>
      </c>
      <c r="D10" s="23">
        <f>'Форма 4'!E65</f>
        <v>3.89</v>
      </c>
      <c r="E10" s="23">
        <f>'Форма 4'!E66</f>
        <v>0.14</v>
      </c>
      <c r="F10" s="23">
        <v>553.07</v>
      </c>
      <c r="G10" s="23">
        <v>0</v>
      </c>
      <c r="H10" s="23">
        <v>0</v>
      </c>
      <c r="I10" s="24">
        <f>'Форма 4'!I65</f>
        <v>81.719</v>
      </c>
      <c r="J10" s="24">
        <v>0</v>
      </c>
      <c r="K10" s="24">
        <f>'Форма 4'!I66</f>
        <v>0.0125</v>
      </c>
      <c r="L10" s="23">
        <v>0</v>
      </c>
      <c r="M10" s="23">
        <v>0</v>
      </c>
      <c r="N10" s="23">
        <v>869.6205</v>
      </c>
      <c r="O10" s="23">
        <v>430.2333</v>
      </c>
      <c r="P10" s="23">
        <v>869.4875</v>
      </c>
      <c r="Q10" s="23">
        <v>0.133</v>
      </c>
      <c r="R10" s="23">
        <v>430.1675</v>
      </c>
      <c r="S10" s="23">
        <v>0.0658</v>
      </c>
      <c r="T10" s="23">
        <v>0</v>
      </c>
      <c r="U10" s="23">
        <v>0</v>
      </c>
      <c r="V10" s="23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0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5" customWidth="1"/>
  </cols>
  <sheetData>
    <row r="1" spans="1:30" s="26" customFormat="1" ht="10.5">
      <c r="A1" s="27"/>
      <c r="B1" s="28" t="s">
        <v>117</v>
      </c>
      <c r="C1" s="28" t="s">
        <v>118</v>
      </c>
      <c r="D1" s="28" t="s">
        <v>119</v>
      </c>
      <c r="E1" s="28" t="s">
        <v>120</v>
      </c>
      <c r="F1" s="28" t="s">
        <v>121</v>
      </c>
      <c r="G1" s="28" t="s">
        <v>122</v>
      </c>
      <c r="H1" s="28" t="s">
        <v>123</v>
      </c>
      <c r="I1" s="28" t="s">
        <v>124</v>
      </c>
      <c r="J1" s="28" t="s">
        <v>125</v>
      </c>
      <c r="K1" s="28" t="s">
        <v>126</v>
      </c>
      <c r="L1" s="28" t="s">
        <v>127</v>
      </c>
      <c r="M1" s="28" t="s">
        <v>128</v>
      </c>
      <c r="N1" s="28" t="s">
        <v>129</v>
      </c>
      <c r="O1" s="28" t="s">
        <v>130</v>
      </c>
      <c r="P1" s="28" t="s">
        <v>131</v>
      </c>
      <c r="Q1" s="28" t="s">
        <v>132</v>
      </c>
      <c r="R1" s="28" t="s">
        <v>133</v>
      </c>
      <c r="S1" s="28" t="s">
        <v>134</v>
      </c>
      <c r="T1" s="28" t="s">
        <v>135</v>
      </c>
      <c r="U1" s="28" t="s">
        <v>136</v>
      </c>
      <c r="V1" s="28" t="s">
        <v>137</v>
      </c>
      <c r="W1" s="28"/>
      <c r="X1" s="28" t="s">
        <v>138</v>
      </c>
      <c r="Y1" s="28" t="s">
        <v>139</v>
      </c>
      <c r="Z1" s="28" t="s">
        <v>140</v>
      </c>
      <c r="AA1" s="28" t="s">
        <v>141</v>
      </c>
      <c r="AB1" s="28" t="s">
        <v>142</v>
      </c>
      <c r="AC1" s="28" t="s">
        <v>143</v>
      </c>
      <c r="AD1" s="28" t="s">
        <v>144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145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146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30" ht="10.5">
      <c r="A6" s="23" t="str">
        <f>'Форма 4'!A26</f>
        <v>1.</v>
      </c>
      <c r="B6" s="23">
        <f>ROUND(C6+D6+F6,2)</f>
        <v>619.24</v>
      </c>
      <c r="C6" s="23">
        <f>ROUND('Форма 4'!C26*'Базовые цены за единицу'!C6,2)</f>
        <v>306.88</v>
      </c>
      <c r="D6" s="23">
        <f>ROUND('Форма 4'!C26*'Базовые цены за единицу'!D6,2)</f>
        <v>190.02</v>
      </c>
      <c r="E6" s="23">
        <f>ROUND('Форма 4'!C26*'Базовые цены за единицу'!E6,2)</f>
        <v>21.56</v>
      </c>
      <c r="F6" s="23">
        <f>ROUND('Форма 4'!C26*'Базовые цены за единицу'!F6,2)</f>
        <v>122.34</v>
      </c>
      <c r="G6" s="23">
        <f>ROUND('Форма 4'!C26*'Базовые цены за единицу'!G6,2)</f>
        <v>0</v>
      </c>
      <c r="H6" s="23">
        <f>ROUND('Форма 4'!C26*'Базовые цены за единицу'!H6,2)</f>
        <v>0</v>
      </c>
      <c r="I6" s="24">
        <f>ОКРУГЛВСЕ('Форма 4'!C26*'Базовые цены за единицу'!I6,8)</f>
        <v>27.746395</v>
      </c>
      <c r="J6" s="24">
        <f>ОКРУГЛВСЕ('Форма 4'!C26*'Базовые цены за единицу'!J6,8)</f>
        <v>0</v>
      </c>
      <c r="K6" s="24">
        <f>ОКРУГЛВСЕ('Форма 4'!C26*'Базовые цены за единицу'!K6,8)</f>
        <v>1.316875</v>
      </c>
      <c r="L6" s="23">
        <f>ROUND('Форма 4'!C26*'Базовые цены за единицу'!L6,2)</f>
        <v>0</v>
      </c>
      <c r="M6" s="23">
        <f>ROUND('Форма 4'!C26*'Базовые цены за единицу'!M6,2)</f>
        <v>0</v>
      </c>
      <c r="N6" s="23">
        <f>ROUND((C6+E6)*'Форма 4'!C29/100,2)</f>
        <v>266.04</v>
      </c>
      <c r="O6" s="23">
        <f>ROUND((C6+E6)*'Форма 4'!C32/100,2)</f>
        <v>236.48</v>
      </c>
      <c r="P6" s="23">
        <f>ROUND('Форма 4'!C26*'Базовые цены за единицу'!P6,2)</f>
        <v>248.57</v>
      </c>
      <c r="Q6" s="23">
        <f>ROUND('Форма 4'!C26*'Базовые цены за единицу'!Q6,2)</f>
        <v>17.47</v>
      </c>
      <c r="R6" s="23">
        <f>ROUND('Форма 4'!C26*'Базовые цены за единицу'!R6,2)</f>
        <v>220.95</v>
      </c>
      <c r="S6" s="23">
        <f>ROUND('Форма 4'!C26*'Базовые цены за единицу'!S6,2)</f>
        <v>15.53</v>
      </c>
      <c r="T6" s="23">
        <f>ROUND('Форма 4'!C26*'Базовые цены за единицу'!T6,2)</f>
        <v>0</v>
      </c>
      <c r="U6" s="23">
        <f>ROUND('Форма 4'!C26*'Базовые цены за единицу'!U6,2)</f>
        <v>0</v>
      </c>
      <c r="V6" s="23">
        <f>ROUND('Форма 4'!C26*'Базовые цены за единицу'!V6,2)</f>
        <v>0</v>
      </c>
      <c r="X6" s="25">
        <f>ROUND('Форма 4'!C26*'Базовые цены за единицу'!X6,2)</f>
        <v>0</v>
      </c>
      <c r="Y6" s="25">
        <f>IF(Определители!I6="9",ROUND((C6+E6)*(Начисления!M6/100)*('Форма 4'!C29/100),2),0)</f>
        <v>0</v>
      </c>
      <c r="Z6" s="25">
        <f>IF(Определители!I6="9",ROUND((C6+E6)*(100-Начисления!M6/100)*('Форма 4'!C29/100),2),0)</f>
        <v>0</v>
      </c>
      <c r="AA6" s="25">
        <f>IF(Определители!I6="9",ROUND((C6+E6)*(Начисления!M6/100)*('Форма 4'!C32/100),2),0)</f>
        <v>0</v>
      </c>
      <c r="AB6" s="25">
        <f>IF(Определители!I6="9",ROUND((C6+E6)*(100-Начисления!M6/100)*('Форма 4'!C32/100),2),0)</f>
        <v>0</v>
      </c>
      <c r="AC6" s="25">
        <f>IF(Определители!I6="9",ROUND(B6*Начисления!M6/100,2),0)</f>
        <v>0</v>
      </c>
      <c r="AD6" s="25">
        <f>IF(Определители!I6="9",ROUND(B6*(100-Начисления!M6)/100,2),0)</f>
        <v>0</v>
      </c>
    </row>
    <row r="7" spans="1:30" ht="10.5">
      <c r="A7" s="23" t="str">
        <f>'Форма 4'!A36</f>
        <v>2.</v>
      </c>
      <c r="B7" s="23">
        <f>ROUND(C7+D7+F7,2)</f>
        <v>5938.3</v>
      </c>
      <c r="C7" s="23">
        <f>ROUND('Форма 4'!C36*'Базовые цены за единицу'!C7,2)</f>
        <v>0</v>
      </c>
      <c r="D7" s="23">
        <f>ROUND('Форма 4'!C36*'Базовые цены за единицу'!D7,2)</f>
        <v>0</v>
      </c>
      <c r="E7" s="23">
        <f>ROUND('Форма 4'!C36*'Базовые цены за единицу'!E7,2)</f>
        <v>0</v>
      </c>
      <c r="F7" s="23">
        <f>ROUND('Форма 4'!C36*'Базовые цены за единицу'!F7,2)</f>
        <v>5938.3</v>
      </c>
      <c r="G7" s="23">
        <f>ROUND('Форма 4'!C36*'Базовые цены за единицу'!G7,2)</f>
        <v>5774.9</v>
      </c>
      <c r="H7" s="23">
        <f>ROUND('Форма 4'!C36*'Базовые цены за единицу'!H7,2)</f>
        <v>0</v>
      </c>
      <c r="I7" s="24">
        <f>ОКРУГЛВСЕ('Форма 4'!C36*'Базовые цены за единицу'!I7,8)</f>
        <v>0</v>
      </c>
      <c r="J7" s="24">
        <f>ОКРУГЛВСЕ('Форма 4'!C36*'Базовые цены за единицу'!J7,8)</f>
        <v>0</v>
      </c>
      <c r="K7" s="24">
        <f>ОКРУГЛВСЕ('Форма 4'!C36*'Базовые цены за единицу'!K7,8)</f>
        <v>0</v>
      </c>
      <c r="L7" s="23">
        <f>ROUND('Форма 4'!C36*'Базовые цены за единицу'!L7,2)</f>
        <v>3.01</v>
      </c>
      <c r="M7" s="23">
        <f>ROUND('Форма 4'!C36*'Базовые цены за единицу'!M7,2)</f>
        <v>0</v>
      </c>
      <c r="N7" s="23">
        <f>ROUND((C7+E7)*'Форма 4'!C38/100,2)</f>
        <v>0</v>
      </c>
      <c r="O7" s="23">
        <f>ROUND((C7+E7)*'Форма 4'!C41/100,2)</f>
        <v>0</v>
      </c>
      <c r="P7" s="23">
        <f>ROUND('Форма 4'!C36*'Базовые цены за единицу'!P7,2)</f>
        <v>0</v>
      </c>
      <c r="Q7" s="23">
        <f>ROUND('Форма 4'!C36*'Базовые цены за единицу'!Q7,2)</f>
        <v>0</v>
      </c>
      <c r="R7" s="23">
        <f>ROUND('Форма 4'!C36*'Базовые цены за единицу'!R7,2)</f>
        <v>0</v>
      </c>
      <c r="S7" s="23">
        <f>ROUND('Форма 4'!C36*'Базовые цены за единицу'!S7,2)</f>
        <v>0</v>
      </c>
      <c r="T7" s="23">
        <f>ROUND('Форма 4'!C36*'Базовые цены за единицу'!T7,2)</f>
        <v>0</v>
      </c>
      <c r="U7" s="23">
        <f>ROUND('Форма 4'!C36*'Базовые цены за единицу'!U7,2)</f>
        <v>0</v>
      </c>
      <c r="V7" s="23">
        <f>ROUND('Форма 4'!C36*'Базовые цены за единицу'!V7,2)</f>
        <v>0</v>
      </c>
      <c r="X7" s="25">
        <f>ROUND('Форма 4'!C36*'Базовые цены за единицу'!X7,2)</f>
        <v>0</v>
      </c>
      <c r="Y7" s="25">
        <f>IF(Определители!I7="9",ROUND((C7+E7)*(Начисления!M7/100)*('Форма 4'!C38/100),2),0)</f>
        <v>0</v>
      </c>
      <c r="Z7" s="25">
        <f>IF(Определители!I7="9",ROUND((C7+E7)*(100-Начисления!M7/100)*('Форма 4'!C38/100),2),0)</f>
        <v>0</v>
      </c>
      <c r="AA7" s="25">
        <f>IF(Определители!I7="9",ROUND((C7+E7)*(Начисления!M7/100)*('Форма 4'!C41/100),2),0)</f>
        <v>0</v>
      </c>
      <c r="AB7" s="25">
        <f>IF(Определители!I7="9",ROUND((C7+E7)*(100-Начисления!M7/100)*('Форма 4'!C41/100),2),0)</f>
        <v>0</v>
      </c>
      <c r="AC7" s="25">
        <f>IF(Определители!I7="9",ROUND(B7*Начисления!M7/100,2),0)</f>
        <v>0</v>
      </c>
      <c r="AD7" s="25">
        <f>IF(Определители!I7="9",ROUND(B7*(100-Начисления!M7)/100,2),0)</f>
        <v>0</v>
      </c>
    </row>
    <row r="8" spans="1:30" ht="10.5">
      <c r="A8" s="23" t="str">
        <f>'Форма 4'!A45</f>
        <v>3.</v>
      </c>
      <c r="B8" s="23">
        <f>ROUND(C8+D8+F8,2)</f>
        <v>12.84</v>
      </c>
      <c r="C8" s="23">
        <f>ROUND('Форма 4'!C45*'Базовые цены за единицу'!C8,2)</f>
        <v>12.84</v>
      </c>
      <c r="D8" s="23">
        <f>ROUND('Форма 4'!C45*'Базовые цены за единицу'!D8,2)</f>
        <v>0</v>
      </c>
      <c r="E8" s="23">
        <f>ROUND('Форма 4'!C45*'Базовые цены за единицу'!E8,2)</f>
        <v>0</v>
      </c>
      <c r="F8" s="23">
        <f>ROUND('Форма 4'!C45*'Базовые цены за единицу'!F8,2)</f>
        <v>0</v>
      </c>
      <c r="G8" s="23">
        <f>ROUND('Форма 4'!C45*'Базовые цены за единицу'!G8,2)</f>
        <v>0</v>
      </c>
      <c r="H8" s="23">
        <f>ROUND('Форма 4'!C45*'Базовые цены за единицу'!H8,2)</f>
        <v>0</v>
      </c>
      <c r="I8" s="24">
        <f>ОКРУГЛВСЕ('Форма 4'!C45*'Базовые цены за единицу'!I8,8)</f>
        <v>1.30272</v>
      </c>
      <c r="J8" s="24">
        <f>ОКРУГЛВСЕ('Форма 4'!C45*'Базовые цены за единицу'!J8,8)</f>
        <v>0</v>
      </c>
      <c r="K8" s="24">
        <f>ОКРУГЛВСЕ('Форма 4'!C45*'Базовые цены за единицу'!K8,8)</f>
        <v>0</v>
      </c>
      <c r="L8" s="23">
        <f>ROUND('Форма 4'!C45*'Базовые цены за единицу'!L8,2)</f>
        <v>0</v>
      </c>
      <c r="M8" s="23">
        <f>ROUND('Форма 4'!C45*'Базовые цены за единицу'!M8,2)</f>
        <v>0</v>
      </c>
      <c r="N8" s="23">
        <f>ROUND((C8+E8)*'Форма 4'!C48/100,2)</f>
        <v>10.27</v>
      </c>
      <c r="O8" s="23">
        <f>ROUND((C8+E8)*'Форма 4'!C51/100,2)</f>
        <v>4.88</v>
      </c>
      <c r="P8" s="23">
        <f>ROUND('Форма 4'!C45*'Базовые цены за единицу'!P8,2)</f>
        <v>10.28</v>
      </c>
      <c r="Q8" s="23">
        <f>ROUND('Форма 4'!C45*'Базовые цены за единицу'!Q8,2)</f>
        <v>0</v>
      </c>
      <c r="R8" s="23">
        <f>ROUND('Форма 4'!C45*'Базовые цены за единицу'!R8,2)</f>
        <v>4.88</v>
      </c>
      <c r="S8" s="23">
        <f>ROUND('Форма 4'!C45*'Базовые цены за единицу'!S8,2)</f>
        <v>0</v>
      </c>
      <c r="T8" s="23">
        <f>ROUND('Форма 4'!C45*'Базовые цены за единицу'!T8,2)</f>
        <v>0</v>
      </c>
      <c r="U8" s="23">
        <f>ROUND('Форма 4'!C45*'Базовые цены за единицу'!U8,2)</f>
        <v>0</v>
      </c>
      <c r="V8" s="23">
        <f>ROUND('Форма 4'!C45*'Базовые цены за единицу'!V8,2)</f>
        <v>0</v>
      </c>
      <c r="X8" s="25">
        <f>ROUND('Форма 4'!C45*'Базовые цены за единицу'!X8,2)</f>
        <v>0</v>
      </c>
      <c r="Y8" s="25">
        <f>IF(Определители!I8="9",ROUND((C8+E8)*(Начисления!M8/100)*('Форма 4'!C48/100),2),0)</f>
        <v>0</v>
      </c>
      <c r="Z8" s="25">
        <f>IF(Определители!I8="9",ROUND((C8+E8)*(100-Начисления!M8/100)*('Форма 4'!C48/100),2),0)</f>
        <v>0</v>
      </c>
      <c r="AA8" s="25">
        <f>IF(Определители!I8="9",ROUND((C8+E8)*(Начисления!M8/100)*('Форма 4'!C51/100),2),0)</f>
        <v>0</v>
      </c>
      <c r="AB8" s="25">
        <f>IF(Определители!I8="9",ROUND((C8+E8)*(100-Начисления!M8/100)*('Форма 4'!C51/100),2),0)</f>
        <v>0</v>
      </c>
      <c r="AC8" s="25">
        <f>IF(Определители!I8="9",ROUND(B8*Начисления!M8/100,2),0)</f>
        <v>0</v>
      </c>
      <c r="AD8" s="25">
        <f>IF(Определители!I8="9",ROUND(B8*(100-Начисления!M8)/100,2),0)</f>
        <v>0</v>
      </c>
    </row>
    <row r="9" spans="1:30" ht="10.5">
      <c r="A9" s="23" t="str">
        <f>'Форма 4'!A55</f>
        <v>4.</v>
      </c>
      <c r="B9" s="23">
        <f>ROUND(C9+D9+F9,2)</f>
        <v>679.62</v>
      </c>
      <c r="C9" s="23">
        <f>ROUND('Форма 4'!C55*'Базовые цены за единицу'!C9,2)</f>
        <v>71.19</v>
      </c>
      <c r="D9" s="23">
        <f>ROUND('Форма 4'!C55*'Базовые цены за единицу'!D9,2)</f>
        <v>23.14</v>
      </c>
      <c r="E9" s="23">
        <f>ROUND('Форма 4'!C55*'Базовые цены за единицу'!E9,2)</f>
        <v>3.64</v>
      </c>
      <c r="F9" s="23">
        <f>ROUND('Форма 4'!C55*'Базовые цены за единицу'!F9,2)</f>
        <v>585.29</v>
      </c>
      <c r="G9" s="23">
        <f>ROUND('Форма 4'!C55*'Базовые цены за единицу'!G9,2)</f>
        <v>0</v>
      </c>
      <c r="H9" s="23">
        <f>ROUND('Форма 4'!C55*'Базовые цены за единицу'!H9,2)</f>
        <v>0</v>
      </c>
      <c r="I9" s="24">
        <f>ОКРУГЛВСЕ('Форма 4'!C55*'Базовые цены за единицу'!I9,8)</f>
        <v>6.6047904</v>
      </c>
      <c r="J9" s="24">
        <f>ОКРУГЛВСЕ('Форма 4'!C55*'Базовые цены за единицу'!J9,8)</f>
        <v>0</v>
      </c>
      <c r="K9" s="24">
        <f>ОКРУГЛВСЕ('Форма 4'!C55*'Базовые цены за единицу'!K9,8)</f>
        <v>0.22344</v>
      </c>
      <c r="L9" s="23">
        <f>ROUND('Форма 4'!C55*'Базовые цены за единицу'!L9,2)</f>
        <v>0</v>
      </c>
      <c r="M9" s="23">
        <f>ROUND('Форма 4'!C55*'Базовые цены за единицу'!M9,2)</f>
        <v>0</v>
      </c>
      <c r="N9" s="23">
        <f>ROUND((C9+E9)*'Форма 4'!C58/100,2)</f>
        <v>71.09</v>
      </c>
      <c r="O9" s="23">
        <f>ROUND((C9+E9)*'Форма 4'!C61/100,2)</f>
        <v>41.16</v>
      </c>
      <c r="P9" s="23">
        <f>ROUND('Форма 4'!C55*'Базовые цены за единицу'!P9,2)</f>
        <v>67.63</v>
      </c>
      <c r="Q9" s="23">
        <f>ROUND('Форма 4'!C55*'Базовые цены за единицу'!Q9,2)</f>
        <v>3.46</v>
      </c>
      <c r="R9" s="23">
        <f>ROUND('Форма 4'!C55*'Базовые цены за единицу'!R9,2)</f>
        <v>39.16</v>
      </c>
      <c r="S9" s="23">
        <f>ROUND('Форма 4'!C55*'Базовые цены за единицу'!S9,2)</f>
        <v>2</v>
      </c>
      <c r="T9" s="23">
        <f>ROUND('Форма 4'!C55*'Базовые цены за единицу'!T9,2)</f>
        <v>0</v>
      </c>
      <c r="U9" s="23">
        <f>ROUND('Форма 4'!C55*'Базовые цены за единицу'!U9,2)</f>
        <v>0</v>
      </c>
      <c r="V9" s="23">
        <f>ROUND('Форма 4'!C55*'Базовые цены за единицу'!V9,2)</f>
        <v>0</v>
      </c>
      <c r="X9" s="25">
        <f>ROUND('Форма 4'!C55*'Базовые цены за единицу'!X9,2)</f>
        <v>0</v>
      </c>
      <c r="Y9" s="25">
        <f>IF(Определители!I9="9",ROUND((C9+E9)*(Начисления!M9/100)*('Форма 4'!C58/100),2),0)</f>
        <v>0</v>
      </c>
      <c r="Z9" s="25">
        <f>IF(Определители!I9="9",ROUND((C9+E9)*(100-Начисления!M9/100)*('Форма 4'!C58/100),2),0)</f>
        <v>0</v>
      </c>
      <c r="AA9" s="25">
        <f>IF(Определители!I9="9",ROUND((C9+E9)*(Начисления!M9/100)*('Форма 4'!C61/100),2),0)</f>
        <v>0</v>
      </c>
      <c r="AB9" s="25">
        <f>IF(Определители!I9="9",ROUND((C9+E9)*(100-Начисления!M9/100)*('Форма 4'!C61/100),2),0)</f>
        <v>0</v>
      </c>
      <c r="AC9" s="25">
        <f>IF(Определители!I9="9",ROUND(B9*Начисления!M9/100,2),0)</f>
        <v>0</v>
      </c>
      <c r="AD9" s="25">
        <f>IF(Определители!I9="9",ROUND(B9*(100-Начисления!M9)/100,2),0)</f>
        <v>0</v>
      </c>
    </row>
    <row r="10" spans="1:30" ht="10.5">
      <c r="A10" s="23" t="str">
        <f>'Форма 4'!A65</f>
        <v>5.</v>
      </c>
      <c r="B10" s="23">
        <f>ROUND(C10+D10+F10,2)</f>
        <v>206.99</v>
      </c>
      <c r="C10" s="23">
        <f>ROUND('Форма 4'!C65*'Базовые цены за единицу'!C10,2)</f>
        <v>128.68</v>
      </c>
      <c r="D10" s="23">
        <f>ROUND('Форма 4'!C65*'Базовые цены за единицу'!D10,2)</f>
        <v>0.55</v>
      </c>
      <c r="E10" s="23">
        <f>ROUND('Форма 4'!C65*'Базовые цены за единицу'!E10,2)</f>
        <v>0.02</v>
      </c>
      <c r="F10" s="23">
        <f>ROUND('Форма 4'!C65*'Базовые цены за единицу'!F10,2)</f>
        <v>77.76</v>
      </c>
      <c r="G10" s="23">
        <f>ROUND('Форма 4'!C65*'Базовые цены за единицу'!G10,2)</f>
        <v>0</v>
      </c>
      <c r="H10" s="23">
        <f>ROUND('Форма 4'!C65*'Базовые цены за единицу'!H10,2)</f>
        <v>0</v>
      </c>
      <c r="I10" s="24">
        <f>ОКРУГЛВСЕ('Форма 4'!C65*'Базовые цены за единицу'!I10,8)</f>
        <v>11.489691</v>
      </c>
      <c r="J10" s="24">
        <f>ОКРУГЛВСЕ('Форма 4'!C65*'Базовые цены за единицу'!J10,8)</f>
        <v>0</v>
      </c>
      <c r="K10" s="24">
        <f>ОКРУГЛВСЕ('Форма 4'!C65*'Базовые цены за единицу'!K10,8)</f>
        <v>0.0017575</v>
      </c>
      <c r="L10" s="23">
        <f>ROUND('Форма 4'!C65*'Базовые цены за единицу'!L10,2)</f>
        <v>0</v>
      </c>
      <c r="M10" s="23">
        <f>ROUND('Форма 4'!C65*'Базовые цены за единицу'!M10,2)</f>
        <v>0</v>
      </c>
      <c r="N10" s="23">
        <f>ROUND((C10+E10)*'Форма 4'!C68/100,2)</f>
        <v>122.27</v>
      </c>
      <c r="O10" s="23">
        <f>ROUND((C10+E10)*'Форма 4'!C71/100,2)</f>
        <v>60.49</v>
      </c>
      <c r="P10" s="23">
        <f>ROUND('Форма 4'!C65*'Базовые цены за единицу'!P10,2)</f>
        <v>122.25</v>
      </c>
      <c r="Q10" s="23">
        <f>ROUND('Форма 4'!C65*'Базовые цены за единицу'!Q10,2)</f>
        <v>0.02</v>
      </c>
      <c r="R10" s="23">
        <f>ROUND('Форма 4'!C65*'Базовые цены за единицу'!R10,2)</f>
        <v>60.48</v>
      </c>
      <c r="S10" s="23">
        <f>ROUND('Форма 4'!C65*'Базовые цены за единицу'!S10,2)</f>
        <v>0.01</v>
      </c>
      <c r="T10" s="23">
        <f>ROUND('Форма 4'!C65*'Базовые цены за единицу'!T10,2)</f>
        <v>0</v>
      </c>
      <c r="U10" s="23">
        <f>ROUND('Форма 4'!C65*'Базовые цены за единицу'!U10,2)</f>
        <v>0</v>
      </c>
      <c r="V10" s="23">
        <f>ROUND('Форма 4'!C65*'Базовые цены за единицу'!V10,2)</f>
        <v>0</v>
      </c>
      <c r="X10" s="25">
        <f>ROUND('Форма 4'!C65*'Базовые цены за единицу'!X10,2)</f>
        <v>0</v>
      </c>
      <c r="Y10" s="25">
        <f>IF(Определители!I10="9",ROUND((C10+E10)*(Начисления!M10/100)*('Форма 4'!C68/100),2),0)</f>
        <v>0</v>
      </c>
      <c r="Z10" s="25">
        <f>IF(Определители!I10="9",ROUND((C10+E10)*(100-Начисления!M10/100)*('Форма 4'!C68/100),2),0)</f>
        <v>0</v>
      </c>
      <c r="AA10" s="25">
        <f>IF(Определители!I10="9",ROUND((C10+E10)*(Начисления!M10/100)*('Форма 4'!C71/100),2),0)</f>
        <v>0</v>
      </c>
      <c r="AB10" s="25">
        <f>IF(Определители!I10="9",ROUND((C10+E10)*(100-Начисления!M10/100)*('Форма 4'!C71/100),2),0)</f>
        <v>0</v>
      </c>
      <c r="AC10" s="25">
        <f>IF(Определители!I10="9",ROUND(B10*Начисления!M10/100,2),0)</f>
        <v>0</v>
      </c>
      <c r="AD10" s="25">
        <f>IF(Определители!I10="9",ROUND(B10*(100-Начисления!M10)/100,2),0)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0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16384" width="9.140625" style="25" customWidth="1"/>
  </cols>
  <sheetData>
    <row r="1" spans="1:47" s="26" customFormat="1" ht="10.5">
      <c r="A1" s="27"/>
      <c r="B1" s="28" t="s">
        <v>147</v>
      </c>
      <c r="C1" s="28" t="s">
        <v>148</v>
      </c>
      <c r="D1" s="28" t="s">
        <v>149</v>
      </c>
      <c r="E1" s="28" t="s">
        <v>150</v>
      </c>
      <c r="F1" s="28" t="s">
        <v>151</v>
      </c>
      <c r="G1" s="28" t="s">
        <v>152</v>
      </c>
      <c r="H1" s="28" t="s">
        <v>153</v>
      </c>
      <c r="I1" s="28" t="s">
        <v>154</v>
      </c>
      <c r="J1" s="28" t="s">
        <v>155</v>
      </c>
      <c r="K1" s="28" t="s">
        <v>156</v>
      </c>
      <c r="L1" s="28" t="s">
        <v>157</v>
      </c>
      <c r="M1" s="28" t="s">
        <v>158</v>
      </c>
      <c r="N1" s="28" t="s">
        <v>159</v>
      </c>
      <c r="O1" s="28" t="s">
        <v>160</v>
      </c>
      <c r="P1" s="28" t="s">
        <v>161</v>
      </c>
      <c r="Q1" s="28" t="s">
        <v>162</v>
      </c>
      <c r="R1" s="28" t="s">
        <v>163</v>
      </c>
      <c r="S1" s="28" t="s">
        <v>164</v>
      </c>
      <c r="T1" s="28" t="s">
        <v>165</v>
      </c>
      <c r="U1" s="28" t="s">
        <v>166</v>
      </c>
      <c r="V1" s="28" t="s">
        <v>167</v>
      </c>
      <c r="W1" s="28" t="s">
        <v>168</v>
      </c>
      <c r="X1" s="28" t="s">
        <v>169</v>
      </c>
      <c r="Y1" s="28" t="s">
        <v>170</v>
      </c>
      <c r="Z1" s="28" t="s">
        <v>171</v>
      </c>
      <c r="AA1" s="28" t="s">
        <v>172</v>
      </c>
      <c r="AB1" s="28" t="s">
        <v>173</v>
      </c>
      <c r="AC1" s="28" t="s">
        <v>174</v>
      </c>
      <c r="AD1" s="28" t="s">
        <v>175</v>
      </c>
      <c r="AE1" s="28" t="s">
        <v>176</v>
      </c>
      <c r="AF1" s="28" t="s">
        <v>177</v>
      </c>
      <c r="AG1" s="28" t="s">
        <v>178</v>
      </c>
      <c r="AH1" s="28" t="s">
        <v>179</v>
      </c>
      <c r="AI1" s="28" t="s">
        <v>180</v>
      </c>
      <c r="AJ1" s="28" t="s">
        <v>181</v>
      </c>
      <c r="AK1" s="28" t="s">
        <v>182</v>
      </c>
      <c r="AL1" s="28" t="s">
        <v>183</v>
      </c>
      <c r="AM1" s="28" t="s">
        <v>184</v>
      </c>
      <c r="AN1" s="28" t="s">
        <v>185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145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146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47" ht="10.5">
      <c r="A6" s="29" t="str">
        <f>'Форма 4'!A26</f>
        <v>1.</v>
      </c>
      <c r="B6" s="24">
        <v>1</v>
      </c>
      <c r="C6" s="24">
        <v>1</v>
      </c>
      <c r="D6" s="24">
        <v>1.25</v>
      </c>
      <c r="E6" s="24">
        <v>1.25</v>
      </c>
      <c r="F6" s="24">
        <v>1.15</v>
      </c>
      <c r="G6" s="24">
        <v>1</v>
      </c>
      <c r="H6" s="24">
        <v>1</v>
      </c>
      <c r="I6" s="24">
        <v>1</v>
      </c>
      <c r="J6" s="24">
        <v>1</v>
      </c>
      <c r="K6" s="24">
        <v>0</v>
      </c>
      <c r="L6" s="24">
        <v>0</v>
      </c>
      <c r="M6" s="24">
        <v>100</v>
      </c>
      <c r="N6" s="24">
        <v>0</v>
      </c>
      <c r="O6" s="24">
        <v>0</v>
      </c>
      <c r="P6" s="24">
        <v>1</v>
      </c>
      <c r="Q6" s="24">
        <v>1</v>
      </c>
      <c r="R6" s="24">
        <v>0</v>
      </c>
      <c r="S6" s="24">
        <v>0</v>
      </c>
      <c r="T6" s="24">
        <v>1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1.7</v>
      </c>
      <c r="AH6" s="24">
        <v>1.6</v>
      </c>
      <c r="AI6" s="24">
        <v>1.29</v>
      </c>
      <c r="AJ6" s="24">
        <v>0.092</v>
      </c>
      <c r="AK6" s="24">
        <v>0.18</v>
      </c>
      <c r="AL6" s="24">
        <v>1</v>
      </c>
      <c r="AM6" s="24">
        <v>1</v>
      </c>
      <c r="AN6" s="24">
        <v>0.2</v>
      </c>
      <c r="AO6" s="24">
        <v>1.5</v>
      </c>
      <c r="AP6" s="24">
        <v>1</v>
      </c>
      <c r="AQ6" s="24">
        <v>1</v>
      </c>
      <c r="AR6" s="24">
        <v>1</v>
      </c>
      <c r="AS6" s="24">
        <v>1</v>
      </c>
      <c r="AT6" s="24">
        <v>1</v>
      </c>
      <c r="AU6" s="24">
        <v>100</v>
      </c>
    </row>
    <row r="7" spans="1:47" ht="10.5">
      <c r="A7" s="29" t="str">
        <f>'Форма 4'!A36</f>
        <v>2.</v>
      </c>
      <c r="B7" s="24">
        <v>1</v>
      </c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0</v>
      </c>
      <c r="L7" s="24">
        <v>0</v>
      </c>
      <c r="M7" s="24">
        <v>100</v>
      </c>
      <c r="N7" s="24">
        <v>0</v>
      </c>
      <c r="O7" s="24">
        <v>0</v>
      </c>
      <c r="P7" s="24">
        <v>1</v>
      </c>
      <c r="Q7" s="24">
        <v>1</v>
      </c>
      <c r="R7" s="24">
        <v>0</v>
      </c>
      <c r="S7" s="24">
        <v>0</v>
      </c>
      <c r="T7" s="24">
        <v>1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1.7</v>
      </c>
      <c r="AH7" s="24">
        <v>1.6</v>
      </c>
      <c r="AI7" s="24">
        <v>1.29</v>
      </c>
      <c r="AJ7" s="24">
        <v>0.092</v>
      </c>
      <c r="AK7" s="24">
        <v>0.18</v>
      </c>
      <c r="AL7" s="24">
        <v>1</v>
      </c>
      <c r="AM7" s="24">
        <v>1</v>
      </c>
      <c r="AN7" s="24">
        <v>0.2</v>
      </c>
      <c r="AO7" s="24">
        <v>1.5</v>
      </c>
      <c r="AP7" s="24">
        <v>1</v>
      </c>
      <c r="AQ7" s="24">
        <v>1</v>
      </c>
      <c r="AR7" s="24">
        <v>1</v>
      </c>
      <c r="AS7" s="24">
        <v>1</v>
      </c>
      <c r="AT7" s="24">
        <v>1</v>
      </c>
      <c r="AU7" s="24">
        <v>100</v>
      </c>
    </row>
    <row r="8" spans="1:47" ht="10.5">
      <c r="A8" s="29" t="str">
        <f>'Форма 4'!A45</f>
        <v>3.</v>
      </c>
      <c r="B8" s="24">
        <v>1</v>
      </c>
      <c r="C8" s="24">
        <v>1</v>
      </c>
      <c r="D8" s="24">
        <v>1.25</v>
      </c>
      <c r="E8" s="24">
        <v>1.25</v>
      </c>
      <c r="F8" s="24">
        <v>1.15</v>
      </c>
      <c r="G8" s="24">
        <v>1</v>
      </c>
      <c r="H8" s="24">
        <v>1</v>
      </c>
      <c r="I8" s="24">
        <v>1</v>
      </c>
      <c r="J8" s="24">
        <v>1</v>
      </c>
      <c r="K8" s="24">
        <v>0</v>
      </c>
      <c r="L8" s="24">
        <v>0</v>
      </c>
      <c r="M8" s="24">
        <v>100</v>
      </c>
      <c r="N8" s="24">
        <v>0</v>
      </c>
      <c r="O8" s="24">
        <v>0</v>
      </c>
      <c r="P8" s="24">
        <v>1</v>
      </c>
      <c r="Q8" s="24">
        <v>1</v>
      </c>
      <c r="R8" s="24">
        <v>0</v>
      </c>
      <c r="S8" s="24">
        <v>0</v>
      </c>
      <c r="T8" s="24">
        <v>1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1.7</v>
      </c>
      <c r="AH8" s="24">
        <v>1.6</v>
      </c>
      <c r="AI8" s="24">
        <v>1.29</v>
      </c>
      <c r="AJ8" s="24">
        <v>0.092</v>
      </c>
      <c r="AK8" s="24">
        <v>0.18</v>
      </c>
      <c r="AL8" s="24">
        <v>1</v>
      </c>
      <c r="AM8" s="24">
        <v>1</v>
      </c>
      <c r="AN8" s="24">
        <v>0.2</v>
      </c>
      <c r="AO8" s="24">
        <v>1.5</v>
      </c>
      <c r="AP8" s="24">
        <v>1</v>
      </c>
      <c r="AQ8" s="24">
        <v>1</v>
      </c>
      <c r="AR8" s="24">
        <v>1</v>
      </c>
      <c r="AS8" s="24">
        <v>1</v>
      </c>
      <c r="AT8" s="24">
        <v>1</v>
      </c>
      <c r="AU8" s="24">
        <v>100</v>
      </c>
    </row>
    <row r="9" spans="1:47" ht="10.5">
      <c r="A9" s="29" t="str">
        <f>'Форма 4'!A55</f>
        <v>4.</v>
      </c>
      <c r="B9" s="24">
        <v>1</v>
      </c>
      <c r="C9" s="24">
        <v>1</v>
      </c>
      <c r="D9" s="24">
        <v>1.25</v>
      </c>
      <c r="E9" s="24">
        <v>1.25</v>
      </c>
      <c r="F9" s="24">
        <v>1.15</v>
      </c>
      <c r="G9" s="24">
        <v>1</v>
      </c>
      <c r="H9" s="24">
        <v>1</v>
      </c>
      <c r="I9" s="24">
        <v>1</v>
      </c>
      <c r="J9" s="24">
        <v>1</v>
      </c>
      <c r="K9" s="24">
        <v>0</v>
      </c>
      <c r="L9" s="24">
        <v>0</v>
      </c>
      <c r="M9" s="24">
        <v>100</v>
      </c>
      <c r="N9" s="24">
        <v>0</v>
      </c>
      <c r="O9" s="24">
        <v>0</v>
      </c>
      <c r="P9" s="24">
        <v>1</v>
      </c>
      <c r="Q9" s="24">
        <v>1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1.7</v>
      </c>
      <c r="AH9" s="24">
        <v>1.6</v>
      </c>
      <c r="AI9" s="24">
        <v>1.29</v>
      </c>
      <c r="AJ9" s="24">
        <v>0.092</v>
      </c>
      <c r="AK9" s="24">
        <v>0.18</v>
      </c>
      <c r="AL9" s="24">
        <v>1</v>
      </c>
      <c r="AM9" s="24">
        <v>1</v>
      </c>
      <c r="AN9" s="24">
        <v>0.2</v>
      </c>
      <c r="AO9" s="24">
        <v>1.5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100</v>
      </c>
    </row>
    <row r="10" spans="1:47" ht="10.5">
      <c r="A10" s="29" t="str">
        <f>'Форма 4'!A65</f>
        <v>5.</v>
      </c>
      <c r="B10" s="24">
        <v>1</v>
      </c>
      <c r="C10" s="24">
        <v>1</v>
      </c>
      <c r="D10" s="24">
        <v>1.25</v>
      </c>
      <c r="E10" s="24">
        <v>1.25</v>
      </c>
      <c r="F10" s="24">
        <v>1.15</v>
      </c>
      <c r="G10" s="24">
        <v>1</v>
      </c>
      <c r="H10" s="24">
        <v>1</v>
      </c>
      <c r="I10" s="24">
        <v>1</v>
      </c>
      <c r="J10" s="24">
        <v>1</v>
      </c>
      <c r="K10" s="24">
        <v>0</v>
      </c>
      <c r="L10" s="24">
        <v>0</v>
      </c>
      <c r="M10" s="24">
        <v>100</v>
      </c>
      <c r="N10" s="24">
        <v>0</v>
      </c>
      <c r="O10" s="24">
        <v>0</v>
      </c>
      <c r="P10" s="24">
        <v>1</v>
      </c>
      <c r="Q10" s="24">
        <v>1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1.7</v>
      </c>
      <c r="AH10" s="24">
        <v>1.6</v>
      </c>
      <c r="AI10" s="24">
        <v>1.29</v>
      </c>
      <c r="AJ10" s="24">
        <v>0.092</v>
      </c>
      <c r="AK10" s="24">
        <v>0.18</v>
      </c>
      <c r="AL10" s="24">
        <v>1</v>
      </c>
      <c r="AM10" s="24">
        <v>1</v>
      </c>
      <c r="AN10" s="24">
        <v>0.2</v>
      </c>
      <c r="AO10" s="24">
        <v>1.5</v>
      </c>
      <c r="AP10" s="24">
        <v>1</v>
      </c>
      <c r="AQ10" s="24">
        <v>1</v>
      </c>
      <c r="AR10" s="24">
        <v>1</v>
      </c>
      <c r="AS10" s="24">
        <v>1</v>
      </c>
      <c r="AT10" s="24">
        <v>1</v>
      </c>
      <c r="AU10" s="24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0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2" customWidth="1"/>
    <col min="2" max="16384" width="9.140625" style="33" customWidth="1"/>
  </cols>
  <sheetData>
    <row r="1" spans="1:10" s="26" customFormat="1" ht="10.5">
      <c r="A1" s="28"/>
      <c r="B1" s="28" t="s">
        <v>193</v>
      </c>
      <c r="C1" s="28" t="s">
        <v>194</v>
      </c>
      <c r="D1" s="28" t="s">
        <v>195</v>
      </c>
      <c r="E1" s="28" t="s">
        <v>196</v>
      </c>
      <c r="F1" s="28" t="s">
        <v>197</v>
      </c>
      <c r="G1" s="28" t="s">
        <v>198</v>
      </c>
      <c r="H1" s="28" t="s">
        <v>199</v>
      </c>
      <c r="I1" s="28" t="s">
        <v>200</v>
      </c>
      <c r="J1" s="28" t="s">
        <v>201</v>
      </c>
    </row>
    <row r="2" spans="1:10" ht="10.5">
      <c r="A2" s="71"/>
      <c r="B2" s="72"/>
      <c r="C2" s="72"/>
      <c r="D2" s="72"/>
      <c r="E2" s="72"/>
      <c r="F2" s="72"/>
      <c r="G2" s="72"/>
      <c r="H2" s="72"/>
      <c r="I2" s="72"/>
      <c r="J2" s="72"/>
    </row>
    <row r="3" spans="1:10" ht="10.5">
      <c r="A3" s="35"/>
      <c r="B3" s="73" t="s">
        <v>145</v>
      </c>
      <c r="C3" s="73"/>
      <c r="D3" s="73"/>
      <c r="E3" s="73"/>
      <c r="F3" s="73"/>
      <c r="G3" s="73"/>
      <c r="H3" s="73"/>
      <c r="I3" s="73"/>
      <c r="J3" s="73"/>
    </row>
    <row r="4" spans="1:10" ht="10.5">
      <c r="A4" s="35"/>
      <c r="B4" s="73" t="s">
        <v>146</v>
      </c>
      <c r="C4" s="73"/>
      <c r="D4" s="73"/>
      <c r="E4" s="73"/>
      <c r="F4" s="73"/>
      <c r="G4" s="73"/>
      <c r="H4" s="73"/>
      <c r="I4" s="73"/>
      <c r="J4" s="73"/>
    </row>
    <row r="5" spans="1:10" ht="10.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10" ht="10.5">
      <c r="A6" s="34" t="str">
        <f>'Форма 4'!A26</f>
        <v>1.</v>
      </c>
      <c r="B6" s="33" t="s">
        <v>202</v>
      </c>
      <c r="C6" s="33" t="s">
        <v>202</v>
      </c>
      <c r="D6" s="33" t="s">
        <v>203</v>
      </c>
      <c r="E6" s="33" t="s">
        <v>203</v>
      </c>
      <c r="F6" s="33" t="s">
        <v>202</v>
      </c>
      <c r="G6" s="33" t="s">
        <v>203</v>
      </c>
      <c r="H6" s="33" t="s">
        <v>203</v>
      </c>
      <c r="I6" s="33" t="s">
        <v>204</v>
      </c>
      <c r="J6" s="33" t="s">
        <v>203</v>
      </c>
    </row>
    <row r="7" spans="1:10" ht="10.5">
      <c r="A7" s="34" t="str">
        <f>'Форма 4'!A36</f>
        <v>2.</v>
      </c>
      <c r="B7" s="33" t="s">
        <v>202</v>
      </c>
      <c r="C7" s="33" t="s">
        <v>202</v>
      </c>
      <c r="D7" s="33" t="s">
        <v>203</v>
      </c>
      <c r="E7" s="33" t="s">
        <v>203</v>
      </c>
      <c r="F7" s="33" t="s">
        <v>202</v>
      </c>
      <c r="G7" s="33" t="s">
        <v>202</v>
      </c>
      <c r="H7" s="33" t="s">
        <v>203</v>
      </c>
      <c r="I7" s="33" t="s">
        <v>204</v>
      </c>
      <c r="J7" s="33" t="s">
        <v>203</v>
      </c>
    </row>
    <row r="8" spans="1:10" ht="10.5">
      <c r="A8" s="34" t="str">
        <f>'Форма 4'!A45</f>
        <v>3.</v>
      </c>
      <c r="B8" s="33" t="s">
        <v>202</v>
      </c>
      <c r="C8" s="33" t="s">
        <v>202</v>
      </c>
      <c r="D8" s="33" t="s">
        <v>203</v>
      </c>
      <c r="E8" s="33" t="s">
        <v>203</v>
      </c>
      <c r="F8" s="33" t="s">
        <v>205</v>
      </c>
      <c r="G8" s="33" t="s">
        <v>203</v>
      </c>
      <c r="H8" s="33" t="s">
        <v>203</v>
      </c>
      <c r="I8" s="33" t="s">
        <v>206</v>
      </c>
      <c r="J8" s="33" t="s">
        <v>203</v>
      </c>
    </row>
    <row r="9" spans="1:10" ht="10.5">
      <c r="A9" s="34" t="str">
        <f>'Форма 4'!A55</f>
        <v>4.</v>
      </c>
      <c r="B9" s="33" t="s">
        <v>202</v>
      </c>
      <c r="C9" s="33" t="s">
        <v>202</v>
      </c>
      <c r="D9" s="33" t="s">
        <v>203</v>
      </c>
      <c r="E9" s="33" t="s">
        <v>203</v>
      </c>
      <c r="F9" s="33" t="s">
        <v>205</v>
      </c>
      <c r="G9" s="33" t="s">
        <v>203</v>
      </c>
      <c r="H9" s="33" t="s">
        <v>203</v>
      </c>
      <c r="I9" s="33" t="s">
        <v>206</v>
      </c>
      <c r="J9" s="33" t="s">
        <v>203</v>
      </c>
    </row>
    <row r="10" spans="1:10" ht="10.5">
      <c r="A10" s="34" t="str">
        <f>'Форма 4'!A65</f>
        <v>5.</v>
      </c>
      <c r="B10" s="33" t="s">
        <v>202</v>
      </c>
      <c r="C10" s="33" t="s">
        <v>202</v>
      </c>
      <c r="D10" s="33" t="s">
        <v>203</v>
      </c>
      <c r="E10" s="33" t="s">
        <v>203</v>
      </c>
      <c r="F10" s="33" t="s">
        <v>205</v>
      </c>
      <c r="G10" s="33" t="s">
        <v>203</v>
      </c>
      <c r="H10" s="33" t="s">
        <v>203</v>
      </c>
      <c r="I10" s="33" t="s">
        <v>206</v>
      </c>
      <c r="J10" s="33" t="s">
        <v>203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2" width="44.421875" style="7" customWidth="1"/>
    <col min="3" max="3" width="3.421875" style="31" customWidth="1"/>
    <col min="4" max="4" width="6.00390625" style="36" customWidth="1"/>
    <col min="5" max="5" width="6.00390625" style="7" customWidth="1"/>
    <col min="6" max="9" width="12.7109375" style="36" customWidth="1"/>
    <col min="10" max="11" width="18.7109375" style="36" customWidth="1"/>
    <col min="12" max="12" width="12.7109375" style="36" customWidth="1"/>
    <col min="13" max="13" width="9.140625" style="36" customWidth="1"/>
    <col min="14" max="14" width="3.421875" style="31" hidden="1" customWidth="1"/>
    <col min="15" max="16384" width="9.140625" style="36" customWidth="1"/>
  </cols>
  <sheetData>
    <row r="1" ht="10.5">
      <c r="A1" s="29"/>
    </row>
    <row r="2" spans="1:14" ht="10.5">
      <c r="A2" s="68"/>
      <c r="B2" s="74"/>
      <c r="C2" s="74"/>
      <c r="D2" s="75"/>
      <c r="E2" s="74"/>
      <c r="F2" s="75"/>
      <c r="G2" s="75"/>
      <c r="H2" s="75"/>
      <c r="I2" s="75"/>
      <c r="J2" s="75"/>
      <c r="N2" s="36"/>
    </row>
    <row r="3" spans="1:14" ht="10.5">
      <c r="A3" s="30"/>
      <c r="B3" s="70" t="s">
        <v>145</v>
      </c>
      <c r="C3" s="70"/>
      <c r="D3" s="70"/>
      <c r="E3" s="70"/>
      <c r="F3" s="70"/>
      <c r="G3" s="70"/>
      <c r="H3" s="70"/>
      <c r="I3" s="70"/>
      <c r="J3" s="70"/>
      <c r="N3" s="36"/>
    </row>
    <row r="4" spans="1:14" ht="10.5">
      <c r="A4" s="30"/>
      <c r="B4" s="70" t="s">
        <v>146</v>
      </c>
      <c r="C4" s="70"/>
      <c r="D4" s="70"/>
      <c r="E4" s="70"/>
      <c r="F4" s="70"/>
      <c r="G4" s="70"/>
      <c r="H4" s="70"/>
      <c r="I4" s="70"/>
      <c r="J4" s="70"/>
      <c r="N4" s="36"/>
    </row>
    <row r="5" spans="1:14" ht="10.5">
      <c r="A5" s="68"/>
      <c r="B5" s="74"/>
      <c r="C5" s="74"/>
      <c r="D5" s="75"/>
      <c r="E5" s="74"/>
      <c r="F5" s="75"/>
      <c r="G5" s="75"/>
      <c r="H5" s="75"/>
      <c r="I5" s="75"/>
      <c r="J5" s="75"/>
      <c r="N5" s="36"/>
    </row>
    <row r="6" spans="1:14" s="26" customFormat="1" ht="10.5">
      <c r="A6" s="27"/>
      <c r="B6" s="28" t="s">
        <v>207</v>
      </c>
      <c r="C6" s="28" t="s">
        <v>208</v>
      </c>
      <c r="D6" s="37" t="s">
        <v>209</v>
      </c>
      <c r="E6" s="28" t="s">
        <v>210</v>
      </c>
      <c r="F6" s="28" t="s">
        <v>211</v>
      </c>
      <c r="G6" s="28" t="s">
        <v>212</v>
      </c>
      <c r="H6" s="28" t="s">
        <v>213</v>
      </c>
      <c r="I6" s="28" t="s">
        <v>214</v>
      </c>
      <c r="J6" s="28" t="s">
        <v>215</v>
      </c>
      <c r="K6" s="28" t="s">
        <v>216</v>
      </c>
      <c r="L6" s="28" t="s">
        <v>217</v>
      </c>
      <c r="M6" s="28" t="s">
        <v>218</v>
      </c>
      <c r="N6" s="28"/>
    </row>
    <row r="7" spans="1:14" ht="10.5">
      <c r="A7" s="29">
        <v>1</v>
      </c>
      <c r="B7" s="38" t="s">
        <v>56</v>
      </c>
      <c r="C7" s="33" t="s">
        <v>219</v>
      </c>
      <c r="D7" s="36">
        <v>0</v>
      </c>
      <c r="E7" s="36"/>
      <c r="F7" s="23">
        <f>ROUND(SUM('Базовые цены с учетом расхода'!B6:B10),2)</f>
        <v>7456.99</v>
      </c>
      <c r="G7" s="23">
        <f>ROUND(SUM('Базовые цены с учетом расхода'!C6:C10),2)</f>
        <v>519.59</v>
      </c>
      <c r="H7" s="23">
        <f>ROUND(SUM('Базовые цены с учетом расхода'!D6:D10),2)</f>
        <v>213.71</v>
      </c>
      <c r="I7" s="23">
        <f>ROUND(SUM('Базовые цены с учетом расхода'!E6:E10),2)</f>
        <v>25.22</v>
      </c>
      <c r="J7" s="39">
        <f>ROUND(SUM('Базовые цены с учетом расхода'!I6:I10),8)</f>
        <v>47.1435964</v>
      </c>
      <c r="K7" s="39">
        <f>ROUND(SUM('Базовые цены с учетом расхода'!K6:K10),8)</f>
        <v>1.5420725</v>
      </c>
      <c r="L7" s="23">
        <f>ROUND(SUM('Базовые цены с учетом расхода'!F6:F10),2)</f>
        <v>6723.69</v>
      </c>
      <c r="N7" s="33" t="s">
        <v>202</v>
      </c>
    </row>
    <row r="8" spans="1:14" ht="10.5">
      <c r="A8" s="29">
        <v>2</v>
      </c>
      <c r="B8" s="38" t="s">
        <v>57</v>
      </c>
      <c r="C8" s="33" t="s">
        <v>220</v>
      </c>
      <c r="D8" s="36">
        <v>0</v>
      </c>
      <c r="F8" s="23">
        <f>ROUND(SUMIF(Определители!I6:I10,"= ",'Базовые цены с учетом расхода'!B6:B10),2)</f>
        <v>0</v>
      </c>
      <c r="G8" s="23">
        <f>ROUND(SUMIF(Определители!I6:I10,"= ",'Базовые цены с учетом расхода'!C6:C10),2)</f>
        <v>0</v>
      </c>
      <c r="H8" s="23">
        <f>ROUND(SUMIF(Определители!I6:I10,"= ",'Базовые цены с учетом расхода'!D6:D10),2)</f>
        <v>0</v>
      </c>
      <c r="I8" s="23">
        <f>ROUND(SUMIF(Определители!I6:I10,"= ",'Базовые цены с учетом расхода'!E6:E10),2)</f>
        <v>0</v>
      </c>
      <c r="J8" s="39">
        <f>ROUND(SUMIF(Определители!I6:I10,"= ",'Базовые цены с учетом расхода'!I6:I10),8)</f>
        <v>0</v>
      </c>
      <c r="K8" s="39">
        <f>ROUND(SUMIF(Определители!I6:I10,"= ",'Базовые цены с учетом расхода'!K6:K10),8)</f>
        <v>0</v>
      </c>
      <c r="L8" s="23">
        <f>ROUND(SUMIF(Определители!I6:I10,"= ",'Базовые цены с учетом расхода'!F6:F10),2)</f>
        <v>0</v>
      </c>
      <c r="N8" s="33" t="s">
        <v>206</v>
      </c>
    </row>
    <row r="9" spans="1:14" ht="10.5">
      <c r="A9" s="29">
        <v>3</v>
      </c>
      <c r="B9" s="38" t="s">
        <v>58</v>
      </c>
      <c r="C9" s="33" t="s">
        <v>220</v>
      </c>
      <c r="D9" s="36">
        <v>0</v>
      </c>
      <c r="F9" s="23">
        <f>ROUND(СУММПРОИЗВЕСЛИ(0.01,Определители!I6:I10," ",'Базовые цены с учетом расхода'!B6:B10,Начисления!X6:X10,0),2)</f>
        <v>0</v>
      </c>
      <c r="G9" s="23"/>
      <c r="H9" s="23"/>
      <c r="I9" s="23"/>
      <c r="J9" s="39"/>
      <c r="K9" s="39"/>
      <c r="L9" s="23"/>
      <c r="N9" s="33" t="s">
        <v>204</v>
      </c>
    </row>
    <row r="10" spans="1:14" ht="10.5">
      <c r="A10" s="29">
        <v>4</v>
      </c>
      <c r="B10" s="38" t="s">
        <v>59</v>
      </c>
      <c r="C10" s="33" t="s">
        <v>220</v>
      </c>
      <c r="D10" s="36">
        <v>0</v>
      </c>
      <c r="F10" s="23">
        <f>ROUND(СУММПРОИЗВЕСЛИ(0.01,Определители!I6:I10," ",'Базовые цены с учетом расхода'!B6:B10,Начисления!Y6:Y10,0),2)</f>
        <v>0</v>
      </c>
      <c r="G10" s="23"/>
      <c r="H10" s="23"/>
      <c r="I10" s="23"/>
      <c r="J10" s="39"/>
      <c r="K10" s="39"/>
      <c r="L10" s="23"/>
      <c r="N10" s="33" t="s">
        <v>221</v>
      </c>
    </row>
    <row r="11" spans="1:14" ht="10.5">
      <c r="A11" s="29">
        <v>5</v>
      </c>
      <c r="B11" s="38" t="s">
        <v>60</v>
      </c>
      <c r="C11" s="33" t="s">
        <v>220</v>
      </c>
      <c r="D11" s="36">
        <v>0</v>
      </c>
      <c r="F11" s="23">
        <f>ROUND(ТРАНСПРАСХОД(Определители!B6:B10,Определители!H6:H10,Определители!I6:I10,'Базовые цены с учетом расхода'!B6:B10,Начисления!Z6:Z10,Начисления!AA6:AA10),2)</f>
        <v>0</v>
      </c>
      <c r="G11" s="23"/>
      <c r="H11" s="23"/>
      <c r="I11" s="23"/>
      <c r="J11" s="39"/>
      <c r="K11" s="39"/>
      <c r="L11" s="23"/>
      <c r="N11" s="33" t="s">
        <v>222</v>
      </c>
    </row>
    <row r="12" spans="1:14" ht="10.5">
      <c r="A12" s="29">
        <v>6</v>
      </c>
      <c r="B12" s="38" t="s">
        <v>61</v>
      </c>
      <c r="C12" s="33" t="s">
        <v>220</v>
      </c>
      <c r="D12" s="36">
        <v>0</v>
      </c>
      <c r="F12" s="23">
        <f>ROUND(СУММПРОИЗВЕСЛИ(0.01,Определители!I6:I10," ",'Базовые цены с учетом расхода'!B6:B10,Начисления!AC6:AC10,0),2)</f>
        <v>0</v>
      </c>
      <c r="G12" s="23"/>
      <c r="H12" s="23"/>
      <c r="I12" s="23"/>
      <c r="J12" s="39"/>
      <c r="K12" s="39"/>
      <c r="L12" s="23"/>
      <c r="N12" s="33" t="s">
        <v>223</v>
      </c>
    </row>
    <row r="13" spans="1:14" ht="10.5">
      <c r="A13" s="29">
        <v>7</v>
      </c>
      <c r="B13" s="38" t="s">
        <v>62</v>
      </c>
      <c r="C13" s="33" t="s">
        <v>220</v>
      </c>
      <c r="D13" s="36">
        <v>0</v>
      </c>
      <c r="F13" s="23">
        <f>ROUND(СУММПРОИЗВЕСЛИ(0.01,Определители!I6:I10," ",'Базовые цены с учетом расхода'!B6:B10,Начисления!AF6:AF10,0),2)</f>
        <v>0</v>
      </c>
      <c r="G13" s="23"/>
      <c r="H13" s="23"/>
      <c r="I13" s="23"/>
      <c r="J13" s="39"/>
      <c r="K13" s="39"/>
      <c r="L13" s="23"/>
      <c r="N13" s="33" t="s">
        <v>224</v>
      </c>
    </row>
    <row r="14" spans="1:14" ht="10.5">
      <c r="A14" s="29">
        <v>8</v>
      </c>
      <c r="B14" s="38" t="s">
        <v>63</v>
      </c>
      <c r="C14" s="33" t="s">
        <v>220</v>
      </c>
      <c r="D14" s="36">
        <v>0</v>
      </c>
      <c r="F14" s="23">
        <f>ROUND(ЗАГОТСКЛАДРАСХОД(Определители!B6:B10,Определители!H6:H10,Определители!I6:I10,'Базовые цены с учетом расхода'!B6:B10,Начисления!X6:X10,Начисления!Y6:Y10,Начисления!Z6:Z10,Начисления!AA6:AA10,Начисления!AB6:AB10,Начисления!AC6:AC10,Начисления!AF6:AF10),2)</f>
        <v>0</v>
      </c>
      <c r="G14" s="23"/>
      <c r="H14" s="23"/>
      <c r="I14" s="23"/>
      <c r="J14" s="39"/>
      <c r="K14" s="39"/>
      <c r="L14" s="23"/>
      <c r="N14" s="33" t="s">
        <v>225</v>
      </c>
    </row>
    <row r="15" spans="1:14" ht="10.5">
      <c r="A15" s="29">
        <v>9</v>
      </c>
      <c r="B15" s="38" t="s">
        <v>64</v>
      </c>
      <c r="C15" s="33" t="s">
        <v>220</v>
      </c>
      <c r="D15" s="36">
        <v>0</v>
      </c>
      <c r="F15" s="23">
        <f>ROUND(СУММПРОИЗВЕСЛИ(1,Определители!I6:I10," ",'Базовые цены с учетом расхода'!M6:M10,Начисления!I6:I10,0),2)</f>
        <v>0</v>
      </c>
      <c r="G15" s="23"/>
      <c r="H15" s="23"/>
      <c r="I15" s="23"/>
      <c r="J15" s="39"/>
      <c r="K15" s="39"/>
      <c r="L15" s="23"/>
      <c r="N15" s="33" t="s">
        <v>226</v>
      </c>
    </row>
    <row r="16" spans="1:14" ht="10.5">
      <c r="A16" s="29">
        <v>10</v>
      </c>
      <c r="B16" s="38" t="s">
        <v>65</v>
      </c>
      <c r="C16" s="33" t="s">
        <v>227</v>
      </c>
      <c r="D16" s="36">
        <v>0</v>
      </c>
      <c r="F16" s="23">
        <f>ROUND((F15+F26+F46),2)</f>
        <v>0</v>
      </c>
      <c r="G16" s="23"/>
      <c r="H16" s="23"/>
      <c r="I16" s="23"/>
      <c r="J16" s="39"/>
      <c r="K16" s="39"/>
      <c r="L16" s="23"/>
      <c r="N16" s="33" t="s">
        <v>228</v>
      </c>
    </row>
    <row r="17" spans="1:14" ht="10.5">
      <c r="A17" s="29">
        <v>11</v>
      </c>
      <c r="B17" s="38" t="s">
        <v>66</v>
      </c>
      <c r="C17" s="33" t="s">
        <v>227</v>
      </c>
      <c r="D17" s="36">
        <v>0</v>
      </c>
      <c r="F17" s="23">
        <f>ROUND((F8+F9+F10+F11+F12+F13+F14+F16),2)</f>
        <v>0</v>
      </c>
      <c r="G17" s="23"/>
      <c r="H17" s="23"/>
      <c r="I17" s="23"/>
      <c r="J17" s="39"/>
      <c r="K17" s="39"/>
      <c r="L17" s="23"/>
      <c r="N17" s="33" t="s">
        <v>229</v>
      </c>
    </row>
    <row r="18" spans="1:14" ht="10.5">
      <c r="A18" s="29">
        <v>12</v>
      </c>
      <c r="B18" s="38" t="s">
        <v>67</v>
      </c>
      <c r="C18" s="33" t="s">
        <v>220</v>
      </c>
      <c r="D18" s="36">
        <v>0</v>
      </c>
      <c r="F18" s="23">
        <f>ROUND(SUMIF(Определители!I6:I10,"=1",'Базовые цены с учетом расхода'!B6:B10),2)</f>
        <v>0</v>
      </c>
      <c r="G18" s="23">
        <f>ROUND(SUMIF(Определители!I6:I10,"=1",'Базовые цены с учетом расхода'!C6:C10),2)</f>
        <v>0</v>
      </c>
      <c r="H18" s="23">
        <f>ROUND(SUMIF(Определители!I6:I10,"=1",'Базовые цены с учетом расхода'!D6:D10),2)</f>
        <v>0</v>
      </c>
      <c r="I18" s="23">
        <f>ROUND(SUMIF(Определители!I6:I10,"=1",'Базовые цены с учетом расхода'!E6:E10),2)</f>
        <v>0</v>
      </c>
      <c r="J18" s="39">
        <f>ROUND(SUMIF(Определители!I6:I10,"=1",'Базовые цены с учетом расхода'!I6:I10),8)</f>
        <v>0</v>
      </c>
      <c r="K18" s="39">
        <f>ROUND(SUMIF(Определители!I6:I10,"=1",'Базовые цены с учетом расхода'!K6:K10),8)</f>
        <v>0</v>
      </c>
      <c r="L18" s="23">
        <f>ROUND(SUMIF(Определители!I6:I10,"=1",'Базовые цены с учетом расхода'!F6:F10),2)</f>
        <v>0</v>
      </c>
      <c r="N18" s="33" t="s">
        <v>230</v>
      </c>
    </row>
    <row r="19" spans="1:14" ht="10.5">
      <c r="A19" s="29">
        <v>13</v>
      </c>
      <c r="B19" s="38" t="s">
        <v>68</v>
      </c>
      <c r="C19" s="33" t="s">
        <v>220</v>
      </c>
      <c r="D19" s="36">
        <v>0</v>
      </c>
      <c r="F19" s="23"/>
      <c r="G19" s="23"/>
      <c r="H19" s="23"/>
      <c r="I19" s="23"/>
      <c r="J19" s="39"/>
      <c r="K19" s="39"/>
      <c r="L19" s="23"/>
      <c r="N19" s="33" t="s">
        <v>231</v>
      </c>
    </row>
    <row r="20" spans="1:14" ht="10.5">
      <c r="A20" s="29">
        <v>14</v>
      </c>
      <c r="B20" s="38" t="s">
        <v>69</v>
      </c>
      <c r="C20" s="33" t="s">
        <v>220</v>
      </c>
      <c r="D20" s="36">
        <v>0</v>
      </c>
      <c r="F20" s="23"/>
      <c r="G20" s="23">
        <f>ROUND(SUMIF(Определители!I6:I10,"=1",'Базовые цены с учетом расхода'!U6:U10),2)</f>
        <v>0</v>
      </c>
      <c r="H20" s="23"/>
      <c r="I20" s="23"/>
      <c r="J20" s="39"/>
      <c r="K20" s="39"/>
      <c r="L20" s="23"/>
      <c r="N20" s="33" t="s">
        <v>232</v>
      </c>
    </row>
    <row r="21" spans="1:14" ht="10.5">
      <c r="A21" s="29">
        <v>15</v>
      </c>
      <c r="B21" s="38" t="s">
        <v>70</v>
      </c>
      <c r="C21" s="33" t="s">
        <v>220</v>
      </c>
      <c r="D21" s="36">
        <v>0</v>
      </c>
      <c r="F21" s="23">
        <f>ROUND(SUMIF(Определители!I6:I10,"=1",'Базовые цены с учетом расхода'!V6:V10),2)</f>
        <v>0</v>
      </c>
      <c r="G21" s="23"/>
      <c r="H21" s="23"/>
      <c r="I21" s="23"/>
      <c r="J21" s="39"/>
      <c r="K21" s="39"/>
      <c r="L21" s="23"/>
      <c r="N21" s="33" t="s">
        <v>233</v>
      </c>
    </row>
    <row r="22" spans="1:14" ht="10.5">
      <c r="A22" s="29">
        <v>16</v>
      </c>
      <c r="B22" s="38" t="s">
        <v>71</v>
      </c>
      <c r="C22" s="33" t="s">
        <v>220</v>
      </c>
      <c r="D22" s="36">
        <v>0</v>
      </c>
      <c r="F22" s="23">
        <f>ROUND(СУММЕСЛИ2(Определители!I6:I10,"1",Определители!G6:G10,"1",'Базовые цены с учетом расхода'!B6:B10),2)</f>
        <v>0</v>
      </c>
      <c r="G22" s="23"/>
      <c r="H22" s="23"/>
      <c r="I22" s="23"/>
      <c r="J22" s="39"/>
      <c r="K22" s="39"/>
      <c r="L22" s="23"/>
      <c r="N22" s="33" t="s">
        <v>234</v>
      </c>
    </row>
    <row r="23" spans="1:14" ht="10.5">
      <c r="A23" s="29">
        <v>17</v>
      </c>
      <c r="B23" s="38" t="s">
        <v>72</v>
      </c>
      <c r="C23" s="33" t="s">
        <v>220</v>
      </c>
      <c r="D23" s="36">
        <v>0</v>
      </c>
      <c r="F23" s="23">
        <f>ROUND(SUMIF(Определители!I6:I10,"=1",'Базовые цены с учетом расхода'!H6:H10),2)</f>
        <v>0</v>
      </c>
      <c r="G23" s="23"/>
      <c r="H23" s="23"/>
      <c r="I23" s="23"/>
      <c r="J23" s="39"/>
      <c r="K23" s="39"/>
      <c r="L23" s="23"/>
      <c r="N23" s="33" t="s">
        <v>235</v>
      </c>
    </row>
    <row r="24" spans="1:14" ht="10.5">
      <c r="A24" s="29">
        <v>18</v>
      </c>
      <c r="B24" s="38" t="s">
        <v>73</v>
      </c>
      <c r="C24" s="33" t="s">
        <v>220</v>
      </c>
      <c r="D24" s="36">
        <v>0</v>
      </c>
      <c r="F24" s="23">
        <f>ROUND(SUMIF(Определители!I6:I10,"=1",'Базовые цены с учетом расхода'!N6:N10),2)</f>
        <v>0</v>
      </c>
      <c r="G24" s="23"/>
      <c r="H24" s="23"/>
      <c r="I24" s="23"/>
      <c r="J24" s="39"/>
      <c r="K24" s="39"/>
      <c r="L24" s="23"/>
      <c r="N24" s="33" t="s">
        <v>236</v>
      </c>
    </row>
    <row r="25" spans="1:14" ht="10.5">
      <c r="A25" s="29">
        <v>19</v>
      </c>
      <c r="B25" s="38" t="s">
        <v>74</v>
      </c>
      <c r="C25" s="33" t="s">
        <v>220</v>
      </c>
      <c r="D25" s="36">
        <v>0</v>
      </c>
      <c r="F25" s="23">
        <f>ROUND(SUMIF(Определители!I6:I10,"=1",'Базовые цены с учетом расхода'!O6:O10),2)</f>
        <v>0</v>
      </c>
      <c r="G25" s="23"/>
      <c r="H25" s="23"/>
      <c r="I25" s="23"/>
      <c r="J25" s="39"/>
      <c r="K25" s="39"/>
      <c r="L25" s="23"/>
      <c r="N25" s="33" t="s">
        <v>237</v>
      </c>
    </row>
    <row r="26" spans="1:14" ht="10.5">
      <c r="A26" s="29">
        <v>20</v>
      </c>
      <c r="B26" s="38" t="s">
        <v>65</v>
      </c>
      <c r="C26" s="33" t="s">
        <v>220</v>
      </c>
      <c r="D26" s="36">
        <v>0</v>
      </c>
      <c r="F26" s="23">
        <f>ROUND(СУММПРОИЗВЕСЛИ(1,Определители!I6:I10," ",'Базовые цены с учетом расхода'!M6:M10,Начисления!I6:I10,0),2)</f>
        <v>0</v>
      </c>
      <c r="G26" s="23"/>
      <c r="H26" s="23"/>
      <c r="I26" s="23"/>
      <c r="J26" s="39"/>
      <c r="K26" s="39"/>
      <c r="L26" s="23"/>
      <c r="N26" s="33" t="s">
        <v>238</v>
      </c>
    </row>
    <row r="27" spans="1:14" ht="10.5">
      <c r="A27" s="29">
        <v>21</v>
      </c>
      <c r="B27" s="38" t="s">
        <v>75</v>
      </c>
      <c r="C27" s="33" t="s">
        <v>227</v>
      </c>
      <c r="D27" s="36">
        <v>0</v>
      </c>
      <c r="F27" s="23">
        <f>ROUND((F18+F24+F25),2)</f>
        <v>0</v>
      </c>
      <c r="G27" s="23"/>
      <c r="H27" s="23"/>
      <c r="I27" s="23"/>
      <c r="J27" s="39"/>
      <c r="K27" s="39"/>
      <c r="L27" s="23"/>
      <c r="N27" s="33" t="s">
        <v>239</v>
      </c>
    </row>
    <row r="28" spans="1:14" ht="10.5">
      <c r="A28" s="29">
        <v>22</v>
      </c>
      <c r="B28" s="38" t="s">
        <v>76</v>
      </c>
      <c r="C28" s="33" t="s">
        <v>220</v>
      </c>
      <c r="D28" s="36">
        <v>0</v>
      </c>
      <c r="F28" s="23">
        <f>ROUND(SUMIF(Определители!I6:I10,"=2",'Базовые цены с учетом расхода'!B6:B10),2)</f>
        <v>899.45</v>
      </c>
      <c r="G28" s="23">
        <f>ROUND(SUMIF(Определители!I6:I10,"=2",'Базовые цены с учетом расхода'!C6:C10),2)</f>
        <v>212.71</v>
      </c>
      <c r="H28" s="23">
        <f>ROUND(SUMIF(Определители!I6:I10,"=2",'Базовые цены с учетом расхода'!D6:D10),2)</f>
        <v>23.69</v>
      </c>
      <c r="I28" s="23">
        <f>ROUND(SUMIF(Определители!I6:I10,"=2",'Базовые цены с учетом расхода'!E6:E10),2)</f>
        <v>3.66</v>
      </c>
      <c r="J28" s="39">
        <f>ROUND(SUMIF(Определители!I6:I10,"=2",'Базовые цены с учетом расхода'!I6:I10),8)</f>
        <v>19.3972014</v>
      </c>
      <c r="K28" s="39">
        <f>ROUND(SUMIF(Определители!I6:I10,"=2",'Базовые цены с учетом расхода'!K6:K10),8)</f>
        <v>0.2251975</v>
      </c>
      <c r="L28" s="23">
        <f>ROUND(SUMIF(Определители!I6:I10,"=2",'Базовые цены с учетом расхода'!F6:F10),2)</f>
        <v>663.05</v>
      </c>
      <c r="N28" s="33" t="s">
        <v>240</v>
      </c>
    </row>
    <row r="29" spans="1:14" ht="10.5">
      <c r="A29" s="29">
        <v>23</v>
      </c>
      <c r="B29" s="38" t="s">
        <v>68</v>
      </c>
      <c r="C29" s="33" t="s">
        <v>220</v>
      </c>
      <c r="D29" s="36">
        <v>0</v>
      </c>
      <c r="F29" s="23"/>
      <c r="G29" s="23"/>
      <c r="H29" s="23"/>
      <c r="I29" s="23"/>
      <c r="J29" s="39"/>
      <c r="K29" s="39"/>
      <c r="L29" s="23"/>
      <c r="N29" s="33" t="s">
        <v>241</v>
      </c>
    </row>
    <row r="30" spans="1:14" ht="10.5">
      <c r="A30" s="29">
        <v>24</v>
      </c>
      <c r="B30" s="38" t="s">
        <v>77</v>
      </c>
      <c r="C30" s="33" t="s">
        <v>220</v>
      </c>
      <c r="D30" s="36">
        <v>0</v>
      </c>
      <c r="F30" s="23">
        <f>ROUND(SUMIF(Определители!G6:G10,"=1",'Базовые цены с учетом расхода'!F6:F10),2)</f>
        <v>5938.3</v>
      </c>
      <c r="G30" s="23"/>
      <c r="H30" s="23"/>
      <c r="I30" s="23"/>
      <c r="J30" s="39"/>
      <c r="K30" s="39"/>
      <c r="L30" s="23"/>
      <c r="N30" s="33" t="s">
        <v>242</v>
      </c>
    </row>
    <row r="31" spans="1:14" ht="10.5">
      <c r="A31" s="29">
        <v>25</v>
      </c>
      <c r="B31" s="38" t="s">
        <v>72</v>
      </c>
      <c r="C31" s="33" t="s">
        <v>220</v>
      </c>
      <c r="D31" s="36">
        <v>0</v>
      </c>
      <c r="F31" s="23">
        <f>ROUND(SUMIF(Определители!I6:I10,"=2",'Базовые цены с учетом расхода'!H6:H10),2)</f>
        <v>0</v>
      </c>
      <c r="G31" s="23"/>
      <c r="H31" s="23"/>
      <c r="I31" s="23"/>
      <c r="J31" s="39"/>
      <c r="K31" s="39"/>
      <c r="L31" s="23"/>
      <c r="N31" s="33" t="s">
        <v>243</v>
      </c>
    </row>
    <row r="32" spans="1:14" ht="10.5">
      <c r="A32" s="29">
        <v>26</v>
      </c>
      <c r="B32" s="38" t="s">
        <v>73</v>
      </c>
      <c r="C32" s="33" t="s">
        <v>220</v>
      </c>
      <c r="D32" s="36">
        <v>0</v>
      </c>
      <c r="F32" s="23">
        <f>ROUND(SUMIF(Определители!I6:I10,"=2",'Базовые цены с учетом расхода'!N6:N10),2)</f>
        <v>203.63</v>
      </c>
      <c r="G32" s="23"/>
      <c r="H32" s="23"/>
      <c r="I32" s="23"/>
      <c r="J32" s="39"/>
      <c r="K32" s="39"/>
      <c r="L32" s="23"/>
      <c r="N32" s="33" t="s">
        <v>244</v>
      </c>
    </row>
    <row r="33" spans="1:14" ht="10.5">
      <c r="A33" s="29">
        <v>27</v>
      </c>
      <c r="B33" s="38" t="s">
        <v>74</v>
      </c>
      <c r="C33" s="33" t="s">
        <v>220</v>
      </c>
      <c r="D33" s="36">
        <v>0</v>
      </c>
      <c r="F33" s="23">
        <f>ROUND(SUMIF(Определители!I6:I10,"=2",'Базовые цены с учетом расхода'!O6:O10),2)</f>
        <v>106.53</v>
      </c>
      <c r="G33" s="23"/>
      <c r="H33" s="23"/>
      <c r="I33" s="23"/>
      <c r="J33" s="39"/>
      <c r="K33" s="39"/>
      <c r="L33" s="23"/>
      <c r="N33" s="33" t="s">
        <v>245</v>
      </c>
    </row>
    <row r="34" spans="1:14" ht="10.5">
      <c r="A34" s="29">
        <v>28</v>
      </c>
      <c r="B34" s="38" t="s">
        <v>80</v>
      </c>
      <c r="C34" s="33" t="s">
        <v>227</v>
      </c>
      <c r="D34" s="36">
        <v>0</v>
      </c>
      <c r="F34" s="23">
        <f>ROUND((F28+F32+F33),2)</f>
        <v>1209.61</v>
      </c>
      <c r="G34" s="23"/>
      <c r="H34" s="23"/>
      <c r="I34" s="23"/>
      <c r="J34" s="39"/>
      <c r="K34" s="39"/>
      <c r="L34" s="23"/>
      <c r="N34" s="33" t="s">
        <v>246</v>
      </c>
    </row>
    <row r="35" spans="1:14" ht="10.5">
      <c r="A35" s="29">
        <v>29</v>
      </c>
      <c r="B35" s="38" t="s">
        <v>81</v>
      </c>
      <c r="C35" s="33" t="s">
        <v>220</v>
      </c>
      <c r="D35" s="36">
        <v>0</v>
      </c>
      <c r="F35" s="23">
        <f>ROUND(SUMIF(Определители!I6:I10,"=3",'Базовые цены с учетом расхода'!B6:B10),2)</f>
        <v>6557.54</v>
      </c>
      <c r="G35" s="23">
        <f>ROUND(SUMIF(Определители!I6:I10,"=3",'Базовые цены с учетом расхода'!C6:C10),2)</f>
        <v>306.88</v>
      </c>
      <c r="H35" s="23">
        <f>ROUND(SUMIF(Определители!I6:I10,"=3",'Базовые цены с учетом расхода'!D6:D10),2)</f>
        <v>190.02</v>
      </c>
      <c r="I35" s="23">
        <f>ROUND(SUMIF(Определители!I6:I10,"=3",'Базовые цены с учетом расхода'!E6:E10),2)</f>
        <v>21.56</v>
      </c>
      <c r="J35" s="39">
        <f>ROUND(SUMIF(Определители!I6:I10,"=3",'Базовые цены с учетом расхода'!I6:I10),8)</f>
        <v>27.746395</v>
      </c>
      <c r="K35" s="39">
        <f>ROUND(SUMIF(Определители!I6:I10,"=3",'Базовые цены с учетом расхода'!K6:K10),8)</f>
        <v>1.316875</v>
      </c>
      <c r="L35" s="23">
        <f>ROUND(SUMIF(Определители!I6:I10,"=3",'Базовые цены с учетом расхода'!F6:F10),2)</f>
        <v>6060.64</v>
      </c>
      <c r="N35" s="33" t="s">
        <v>247</v>
      </c>
    </row>
    <row r="36" spans="1:14" ht="10.5">
      <c r="A36" s="29">
        <v>30</v>
      </c>
      <c r="B36" s="38" t="s">
        <v>72</v>
      </c>
      <c r="C36" s="33" t="s">
        <v>220</v>
      </c>
      <c r="D36" s="36">
        <v>0</v>
      </c>
      <c r="F36" s="23">
        <f>ROUND(SUMIF(Определители!I6:I10,"=3",'Базовые цены с учетом расхода'!H6:H10),2)</f>
        <v>0</v>
      </c>
      <c r="G36" s="23"/>
      <c r="H36" s="23"/>
      <c r="I36" s="23"/>
      <c r="J36" s="39"/>
      <c r="K36" s="39"/>
      <c r="L36" s="23"/>
      <c r="N36" s="33" t="s">
        <v>248</v>
      </c>
    </row>
    <row r="37" spans="1:14" ht="10.5">
      <c r="A37" s="29">
        <v>31</v>
      </c>
      <c r="B37" s="38" t="s">
        <v>73</v>
      </c>
      <c r="C37" s="33" t="s">
        <v>220</v>
      </c>
      <c r="D37" s="36">
        <v>0</v>
      </c>
      <c r="F37" s="23">
        <f>ROUND(SUMIF(Определители!I6:I10,"=3",'Базовые цены с учетом расхода'!N6:N10),2)</f>
        <v>266.04</v>
      </c>
      <c r="G37" s="23"/>
      <c r="H37" s="23"/>
      <c r="I37" s="23"/>
      <c r="J37" s="39"/>
      <c r="K37" s="39"/>
      <c r="L37" s="23"/>
      <c r="N37" s="33" t="s">
        <v>249</v>
      </c>
    </row>
    <row r="38" spans="1:14" ht="10.5">
      <c r="A38" s="29">
        <v>32</v>
      </c>
      <c r="B38" s="38" t="s">
        <v>74</v>
      </c>
      <c r="C38" s="33" t="s">
        <v>220</v>
      </c>
      <c r="D38" s="36">
        <v>0</v>
      </c>
      <c r="F38" s="23">
        <f>ROUND(SUMIF(Определители!I6:I10,"=3",'Базовые цены с учетом расхода'!O6:O10),2)</f>
        <v>236.48</v>
      </c>
      <c r="G38" s="23"/>
      <c r="H38" s="23"/>
      <c r="I38" s="23"/>
      <c r="J38" s="39"/>
      <c r="K38" s="39"/>
      <c r="L38" s="23"/>
      <c r="N38" s="33" t="s">
        <v>250</v>
      </c>
    </row>
    <row r="39" spans="1:14" ht="10.5">
      <c r="A39" s="29">
        <v>33</v>
      </c>
      <c r="B39" s="38" t="s">
        <v>84</v>
      </c>
      <c r="C39" s="33" t="s">
        <v>227</v>
      </c>
      <c r="D39" s="36">
        <v>0</v>
      </c>
      <c r="F39" s="23">
        <f>ROUND((F35+F37+F38),2)</f>
        <v>7060.06</v>
      </c>
      <c r="G39" s="23"/>
      <c r="H39" s="23"/>
      <c r="I39" s="23"/>
      <c r="J39" s="39"/>
      <c r="K39" s="39"/>
      <c r="L39" s="23"/>
      <c r="N39" s="33" t="s">
        <v>251</v>
      </c>
    </row>
    <row r="40" spans="1:14" ht="10.5">
      <c r="A40" s="29">
        <v>34</v>
      </c>
      <c r="B40" s="38" t="s">
        <v>85</v>
      </c>
      <c r="C40" s="33" t="s">
        <v>220</v>
      </c>
      <c r="D40" s="36">
        <v>0</v>
      </c>
      <c r="F40" s="23">
        <f>ROUND(SUMIF(Определители!I6:I10,"=4",'Базовые цены с учетом расхода'!B6:B10),2)</f>
        <v>0</v>
      </c>
      <c r="G40" s="23">
        <f>ROUND(SUMIF(Определители!I6:I10,"=4",'Базовые цены с учетом расхода'!C6:C10),2)</f>
        <v>0</v>
      </c>
      <c r="H40" s="23">
        <f>ROUND(SUMIF(Определители!I6:I10,"=4",'Базовые цены с учетом расхода'!D6:D10),2)</f>
        <v>0</v>
      </c>
      <c r="I40" s="23">
        <f>ROUND(SUMIF(Определители!I6:I10,"=4",'Базовые цены с учетом расхода'!E6:E10),2)</f>
        <v>0</v>
      </c>
      <c r="J40" s="39">
        <f>ROUND(SUMIF(Определители!I6:I10,"=4",'Базовые цены с учетом расхода'!I6:I10),8)</f>
        <v>0</v>
      </c>
      <c r="K40" s="39">
        <f>ROUND(SUMIF(Определители!I6:I10,"=4",'Базовые цены с учетом расхода'!K6:K10),8)</f>
        <v>0</v>
      </c>
      <c r="L40" s="23">
        <f>ROUND(SUMIF(Определители!I6:I10,"=4",'Базовые цены с учетом расхода'!F6:F10),2)</f>
        <v>0</v>
      </c>
      <c r="N40" s="33" t="s">
        <v>252</v>
      </c>
    </row>
    <row r="41" spans="1:14" ht="10.5">
      <c r="A41" s="29">
        <v>35</v>
      </c>
      <c r="B41" s="38" t="s">
        <v>68</v>
      </c>
      <c r="C41" s="33" t="s">
        <v>220</v>
      </c>
      <c r="D41" s="36">
        <v>0</v>
      </c>
      <c r="F41" s="23"/>
      <c r="G41" s="23"/>
      <c r="H41" s="23"/>
      <c r="I41" s="23"/>
      <c r="J41" s="39"/>
      <c r="K41" s="39"/>
      <c r="L41" s="23"/>
      <c r="N41" s="33" t="s">
        <v>253</v>
      </c>
    </row>
    <row r="42" spans="1:14" ht="10.5">
      <c r="A42" s="29">
        <v>36</v>
      </c>
      <c r="B42" s="38" t="s">
        <v>86</v>
      </c>
      <c r="C42" s="33" t="s">
        <v>220</v>
      </c>
      <c r="D42" s="36">
        <v>0</v>
      </c>
      <c r="F42" s="23"/>
      <c r="G42" s="23"/>
      <c r="H42" s="23"/>
      <c r="I42" s="23"/>
      <c r="J42" s="39"/>
      <c r="K42" s="39"/>
      <c r="L42" s="23"/>
      <c r="N42" s="33" t="s">
        <v>254</v>
      </c>
    </row>
    <row r="43" spans="1:14" ht="10.5">
      <c r="A43" s="29">
        <v>37</v>
      </c>
      <c r="B43" s="38" t="s">
        <v>72</v>
      </c>
      <c r="C43" s="33" t="s">
        <v>220</v>
      </c>
      <c r="D43" s="36">
        <v>0</v>
      </c>
      <c r="F43" s="23">
        <f>ROUND(SUMIF(Определители!I6:I10,"=4",'Базовые цены с учетом расхода'!H6:H10),2)</f>
        <v>0</v>
      </c>
      <c r="G43" s="23"/>
      <c r="H43" s="23"/>
      <c r="I43" s="23"/>
      <c r="J43" s="39"/>
      <c r="K43" s="39"/>
      <c r="L43" s="23"/>
      <c r="N43" s="33" t="s">
        <v>255</v>
      </c>
    </row>
    <row r="44" spans="1:14" ht="10.5">
      <c r="A44" s="29">
        <v>38</v>
      </c>
      <c r="B44" s="38" t="s">
        <v>73</v>
      </c>
      <c r="C44" s="33" t="s">
        <v>220</v>
      </c>
      <c r="D44" s="36">
        <v>0</v>
      </c>
      <c r="F44" s="23">
        <f>ROUND(SUMIF(Определители!I6:I10,"=4",'Базовые цены с учетом расхода'!N6:N10),2)</f>
        <v>0</v>
      </c>
      <c r="G44" s="23"/>
      <c r="H44" s="23"/>
      <c r="I44" s="23"/>
      <c r="J44" s="39"/>
      <c r="K44" s="39"/>
      <c r="L44" s="23"/>
      <c r="N44" s="33" t="s">
        <v>256</v>
      </c>
    </row>
    <row r="45" spans="1:14" ht="10.5">
      <c r="A45" s="29">
        <v>39</v>
      </c>
      <c r="B45" s="38" t="s">
        <v>74</v>
      </c>
      <c r="C45" s="33" t="s">
        <v>220</v>
      </c>
      <c r="D45" s="36">
        <v>0</v>
      </c>
      <c r="F45" s="23">
        <f>ROUND(SUMIF(Определители!I6:I10,"=4",'Базовые цены с учетом расхода'!O6:O10),2)</f>
        <v>0</v>
      </c>
      <c r="G45" s="23"/>
      <c r="H45" s="23"/>
      <c r="I45" s="23"/>
      <c r="J45" s="39"/>
      <c r="K45" s="39"/>
      <c r="L45" s="23"/>
      <c r="N45" s="33" t="s">
        <v>257</v>
      </c>
    </row>
    <row r="46" spans="1:14" ht="10.5">
      <c r="A46" s="29">
        <v>40</v>
      </c>
      <c r="B46" s="38" t="s">
        <v>65</v>
      </c>
      <c r="C46" s="33" t="s">
        <v>220</v>
      </c>
      <c r="D46" s="36">
        <v>0</v>
      </c>
      <c r="F46" s="23">
        <f>ROUND(СУММПРОИЗВЕСЛИ(1,Определители!I6:I10," ",'Базовые цены с учетом расхода'!M6:M10,Начисления!I6:I10,0),2)</f>
        <v>0</v>
      </c>
      <c r="G46" s="23"/>
      <c r="H46" s="23"/>
      <c r="I46" s="23"/>
      <c r="J46" s="39"/>
      <c r="K46" s="39"/>
      <c r="L46" s="23"/>
      <c r="N46" s="33" t="s">
        <v>258</v>
      </c>
    </row>
    <row r="47" spans="1:14" ht="10.5">
      <c r="A47" s="29">
        <v>41</v>
      </c>
      <c r="B47" s="38" t="s">
        <v>87</v>
      </c>
      <c r="C47" s="33" t="s">
        <v>227</v>
      </c>
      <c r="D47" s="36">
        <v>0</v>
      </c>
      <c r="F47" s="23">
        <f>ROUND((F40+F44+F45),2)</f>
        <v>0</v>
      </c>
      <c r="G47" s="23"/>
      <c r="H47" s="23"/>
      <c r="I47" s="23"/>
      <c r="J47" s="39"/>
      <c r="K47" s="39"/>
      <c r="L47" s="23"/>
      <c r="N47" s="33" t="s">
        <v>259</v>
      </c>
    </row>
    <row r="48" spans="1:14" ht="10.5">
      <c r="A48" s="29">
        <v>42</v>
      </c>
      <c r="B48" s="38" t="s">
        <v>88</v>
      </c>
      <c r="C48" s="33" t="s">
        <v>220</v>
      </c>
      <c r="D48" s="36">
        <v>0</v>
      </c>
      <c r="F48" s="23">
        <f>ROUND(SUMIF(Определители!I6:I10,"=5",'Базовые цены с учетом расхода'!B6:B10),2)</f>
        <v>0</v>
      </c>
      <c r="G48" s="23">
        <f>ROUND(SUMIF(Определители!I6:I10,"=5",'Базовые цены с учетом расхода'!C6:C10),2)</f>
        <v>0</v>
      </c>
      <c r="H48" s="23">
        <f>ROUND(SUMIF(Определители!I6:I10,"=5",'Базовые цены с учетом расхода'!D6:D10),2)</f>
        <v>0</v>
      </c>
      <c r="I48" s="23">
        <f>ROUND(SUMIF(Определители!I6:I10,"=5",'Базовые цены с учетом расхода'!E6:E10),2)</f>
        <v>0</v>
      </c>
      <c r="J48" s="39">
        <f>ROUND(SUMIF(Определители!I6:I10,"=5",'Базовые цены с учетом расхода'!I6:I10),8)</f>
        <v>0</v>
      </c>
      <c r="K48" s="39">
        <f>ROUND(SUMIF(Определители!I6:I10,"=5",'Базовые цены с учетом расхода'!K6:K10),8)</f>
        <v>0</v>
      </c>
      <c r="L48" s="23">
        <f>ROUND(SUMIF(Определители!I6:I10,"=5",'Базовые цены с учетом расхода'!F6:F10),2)</f>
        <v>0</v>
      </c>
      <c r="N48" s="33" t="s">
        <v>260</v>
      </c>
    </row>
    <row r="49" spans="1:14" ht="10.5">
      <c r="A49" s="29">
        <v>43</v>
      </c>
      <c r="B49" s="38" t="s">
        <v>72</v>
      </c>
      <c r="C49" s="33" t="s">
        <v>220</v>
      </c>
      <c r="D49" s="36">
        <v>0</v>
      </c>
      <c r="F49" s="23">
        <f>ROUND(SUMIF(Определители!I6:I10,"=5",'Базовые цены с учетом расхода'!H6:H10),2)</f>
        <v>0</v>
      </c>
      <c r="G49" s="23"/>
      <c r="H49" s="23"/>
      <c r="I49" s="23"/>
      <c r="J49" s="39"/>
      <c r="K49" s="39"/>
      <c r="L49" s="23"/>
      <c r="N49" s="33" t="s">
        <v>261</v>
      </c>
    </row>
    <row r="50" spans="1:14" ht="10.5">
      <c r="A50" s="29">
        <v>44</v>
      </c>
      <c r="B50" s="38" t="s">
        <v>73</v>
      </c>
      <c r="C50" s="33" t="s">
        <v>220</v>
      </c>
      <c r="D50" s="36">
        <v>0</v>
      </c>
      <c r="F50" s="23">
        <f>ROUND(SUMIF(Определители!I6:I10,"=5",'Базовые цены с учетом расхода'!N6:N10),2)</f>
        <v>0</v>
      </c>
      <c r="G50" s="23"/>
      <c r="H50" s="23"/>
      <c r="I50" s="23"/>
      <c r="J50" s="39"/>
      <c r="K50" s="39"/>
      <c r="L50" s="23"/>
      <c r="N50" s="33" t="s">
        <v>262</v>
      </c>
    </row>
    <row r="51" spans="1:14" ht="10.5">
      <c r="A51" s="29">
        <v>45</v>
      </c>
      <c r="B51" s="38" t="s">
        <v>74</v>
      </c>
      <c r="C51" s="33" t="s">
        <v>220</v>
      </c>
      <c r="D51" s="36">
        <v>0</v>
      </c>
      <c r="F51" s="23">
        <f>ROUND(SUMIF(Определители!I6:I10,"=5",'Базовые цены с учетом расхода'!O6:O10),2)</f>
        <v>0</v>
      </c>
      <c r="G51" s="23"/>
      <c r="H51" s="23"/>
      <c r="I51" s="23"/>
      <c r="J51" s="39"/>
      <c r="K51" s="39"/>
      <c r="L51" s="23"/>
      <c r="N51" s="33" t="s">
        <v>263</v>
      </c>
    </row>
    <row r="52" spans="1:14" ht="10.5">
      <c r="A52" s="29">
        <v>46</v>
      </c>
      <c r="B52" s="38" t="s">
        <v>89</v>
      </c>
      <c r="C52" s="33" t="s">
        <v>227</v>
      </c>
      <c r="D52" s="36">
        <v>0</v>
      </c>
      <c r="F52" s="23">
        <f>ROUND((F48+F50+F51),2)</f>
        <v>0</v>
      </c>
      <c r="G52" s="23"/>
      <c r="H52" s="23"/>
      <c r="I52" s="23"/>
      <c r="J52" s="39"/>
      <c r="K52" s="39"/>
      <c r="L52" s="23"/>
      <c r="N52" s="33" t="s">
        <v>264</v>
      </c>
    </row>
    <row r="53" spans="1:14" ht="10.5">
      <c r="A53" s="29">
        <v>47</v>
      </c>
      <c r="B53" s="38" t="s">
        <v>90</v>
      </c>
      <c r="C53" s="33" t="s">
        <v>220</v>
      </c>
      <c r="D53" s="36">
        <v>0</v>
      </c>
      <c r="F53" s="23">
        <f>ROUND(SUMIF(Определители!I6:I10,"=6",'Базовые цены с учетом расхода'!B6:B10),2)</f>
        <v>0</v>
      </c>
      <c r="G53" s="23">
        <f>ROUND(SUMIF(Определители!I6:I10,"=6",'Базовые цены с учетом расхода'!C6:C10),2)</f>
        <v>0</v>
      </c>
      <c r="H53" s="23">
        <f>ROUND(SUMIF(Определители!I6:I10,"=6",'Базовые цены с учетом расхода'!D6:D10),2)</f>
        <v>0</v>
      </c>
      <c r="I53" s="23">
        <f>ROUND(SUMIF(Определители!I6:I10,"=6",'Базовые цены с учетом расхода'!E6:E10),2)</f>
        <v>0</v>
      </c>
      <c r="J53" s="39">
        <f>ROUND(SUMIF(Определители!I6:I10,"=6",'Базовые цены с учетом расхода'!I6:I10),8)</f>
        <v>0</v>
      </c>
      <c r="K53" s="39">
        <f>ROUND(SUMIF(Определители!I6:I10,"=6",'Базовые цены с учетом расхода'!K6:K10),8)</f>
        <v>0</v>
      </c>
      <c r="L53" s="23">
        <f>ROUND(SUMIF(Определители!I6:I10,"=6",'Базовые цены с учетом расхода'!F6:F10),2)</f>
        <v>0</v>
      </c>
      <c r="N53" s="33" t="s">
        <v>265</v>
      </c>
    </row>
    <row r="54" spans="1:14" ht="10.5">
      <c r="A54" s="29">
        <v>48</v>
      </c>
      <c r="B54" s="38" t="s">
        <v>72</v>
      </c>
      <c r="C54" s="33" t="s">
        <v>220</v>
      </c>
      <c r="D54" s="36">
        <v>0</v>
      </c>
      <c r="F54" s="23">
        <f>ROUND(SUMIF(Определители!I6:I10,"=6",'Базовые цены с учетом расхода'!H6:H10),2)</f>
        <v>0</v>
      </c>
      <c r="G54" s="23"/>
      <c r="H54" s="23"/>
      <c r="I54" s="23"/>
      <c r="J54" s="39"/>
      <c r="K54" s="39"/>
      <c r="L54" s="23"/>
      <c r="N54" s="33" t="s">
        <v>266</v>
      </c>
    </row>
    <row r="55" spans="1:14" ht="10.5">
      <c r="A55" s="29">
        <v>49</v>
      </c>
      <c r="B55" s="38" t="s">
        <v>73</v>
      </c>
      <c r="C55" s="33" t="s">
        <v>220</v>
      </c>
      <c r="D55" s="36">
        <v>0</v>
      </c>
      <c r="F55" s="23">
        <f>ROUND(SUMIF(Определители!I6:I10,"=6",'Базовые цены с учетом расхода'!N6:N10),2)</f>
        <v>0</v>
      </c>
      <c r="G55" s="23"/>
      <c r="H55" s="23"/>
      <c r="I55" s="23"/>
      <c r="J55" s="39"/>
      <c r="K55" s="39"/>
      <c r="L55" s="23"/>
      <c r="N55" s="33" t="s">
        <v>267</v>
      </c>
    </row>
    <row r="56" spans="1:14" ht="10.5">
      <c r="A56" s="29">
        <v>50</v>
      </c>
      <c r="B56" s="38" t="s">
        <v>74</v>
      </c>
      <c r="C56" s="33" t="s">
        <v>220</v>
      </c>
      <c r="D56" s="36">
        <v>0</v>
      </c>
      <c r="F56" s="23">
        <f>ROUND(SUMIF(Определители!I6:I10,"=6",'Базовые цены с учетом расхода'!O6:O10),2)</f>
        <v>0</v>
      </c>
      <c r="G56" s="23"/>
      <c r="H56" s="23"/>
      <c r="I56" s="23"/>
      <c r="J56" s="39"/>
      <c r="K56" s="39"/>
      <c r="L56" s="23"/>
      <c r="N56" s="33" t="s">
        <v>268</v>
      </c>
    </row>
    <row r="57" spans="1:14" ht="10.5">
      <c r="A57" s="29">
        <v>51</v>
      </c>
      <c r="B57" s="38" t="s">
        <v>91</v>
      </c>
      <c r="C57" s="33" t="s">
        <v>227</v>
      </c>
      <c r="D57" s="36">
        <v>0</v>
      </c>
      <c r="F57" s="23">
        <f>ROUND((F53+F55+F56),2)</f>
        <v>0</v>
      </c>
      <c r="G57" s="23"/>
      <c r="H57" s="23"/>
      <c r="I57" s="23"/>
      <c r="J57" s="39"/>
      <c r="K57" s="39"/>
      <c r="L57" s="23"/>
      <c r="N57" s="33" t="s">
        <v>269</v>
      </c>
    </row>
    <row r="58" spans="1:14" ht="10.5">
      <c r="A58" s="29">
        <v>52</v>
      </c>
      <c r="B58" s="38" t="s">
        <v>92</v>
      </c>
      <c r="C58" s="33" t="s">
        <v>220</v>
      </c>
      <c r="D58" s="36">
        <v>0</v>
      </c>
      <c r="F58" s="23">
        <f>ROUND(SUMIF(Определители!I6:I10,"=7",'Базовые цены с учетом расхода'!B6:B10),2)</f>
        <v>0</v>
      </c>
      <c r="G58" s="23">
        <f>ROUND(SUMIF(Определители!I6:I10,"=7",'Базовые цены с учетом расхода'!C6:C10),2)</f>
        <v>0</v>
      </c>
      <c r="H58" s="23">
        <f>ROUND(SUMIF(Определители!I6:I10,"=7",'Базовые цены с учетом расхода'!D6:D10),2)</f>
        <v>0</v>
      </c>
      <c r="I58" s="23">
        <f>ROUND(SUMIF(Определители!I6:I10,"=7",'Базовые цены с учетом расхода'!E6:E10),2)</f>
        <v>0</v>
      </c>
      <c r="J58" s="39">
        <f>ROUND(SUMIF(Определители!I6:I10,"=7",'Базовые цены с учетом расхода'!I6:I10),8)</f>
        <v>0</v>
      </c>
      <c r="K58" s="39">
        <f>ROUND(SUMIF(Определители!I6:I10,"=7",'Базовые цены с учетом расхода'!K6:K10),8)</f>
        <v>0</v>
      </c>
      <c r="L58" s="23">
        <f>ROUND(SUMIF(Определители!I6:I10,"=7",'Базовые цены с учетом расхода'!F6:F10),2)</f>
        <v>0</v>
      </c>
      <c r="N58" s="33" t="s">
        <v>270</v>
      </c>
    </row>
    <row r="59" spans="1:14" ht="10.5">
      <c r="A59" s="29">
        <v>53</v>
      </c>
      <c r="B59" s="38" t="s">
        <v>68</v>
      </c>
      <c r="C59" s="33" t="s">
        <v>220</v>
      </c>
      <c r="D59" s="36">
        <v>0</v>
      </c>
      <c r="F59" s="23"/>
      <c r="G59" s="23"/>
      <c r="H59" s="23"/>
      <c r="I59" s="23"/>
      <c r="J59" s="39"/>
      <c r="K59" s="39"/>
      <c r="L59" s="23"/>
      <c r="N59" s="33" t="s">
        <v>271</v>
      </c>
    </row>
    <row r="60" spans="1:14" ht="10.5">
      <c r="A60" s="29">
        <v>54</v>
      </c>
      <c r="B60" s="38" t="s">
        <v>93</v>
      </c>
      <c r="C60" s="33" t="s">
        <v>220</v>
      </c>
      <c r="D60" s="36">
        <v>0</v>
      </c>
      <c r="F60" s="23">
        <f>ROUND(SUMIF(Определители!G6:G10,"=1",'Базовые цены с учетом расхода'!F6:F10),2)</f>
        <v>5938.3</v>
      </c>
      <c r="G60" s="23"/>
      <c r="H60" s="23"/>
      <c r="I60" s="23"/>
      <c r="J60" s="39"/>
      <c r="K60" s="39"/>
      <c r="L60" s="23"/>
      <c r="N60" s="33" t="s">
        <v>272</v>
      </c>
    </row>
    <row r="61" spans="1:14" ht="10.5">
      <c r="A61" s="29">
        <v>55</v>
      </c>
      <c r="B61" s="38" t="s">
        <v>72</v>
      </c>
      <c r="C61" s="33" t="s">
        <v>220</v>
      </c>
      <c r="D61" s="36">
        <v>0</v>
      </c>
      <c r="F61" s="23">
        <f>ROUND(SUMIF(Определители!I6:I10,"=7",'Базовые цены с учетом расхода'!H6:H10),2)</f>
        <v>0</v>
      </c>
      <c r="G61" s="23"/>
      <c r="H61" s="23"/>
      <c r="I61" s="23"/>
      <c r="J61" s="39"/>
      <c r="K61" s="39"/>
      <c r="L61" s="23"/>
      <c r="N61" s="33" t="s">
        <v>273</v>
      </c>
    </row>
    <row r="62" spans="1:14" ht="10.5">
      <c r="A62" s="29">
        <v>56</v>
      </c>
      <c r="B62" s="38" t="s">
        <v>94</v>
      </c>
      <c r="C62" s="33" t="s">
        <v>220</v>
      </c>
      <c r="D62" s="36">
        <v>0</v>
      </c>
      <c r="F62" s="23">
        <f>ROUND(SUMIF(Определители!I6:I10,"=7",'Базовые цены с учетом расхода'!N6:N10),2)</f>
        <v>0</v>
      </c>
      <c r="G62" s="23"/>
      <c r="H62" s="23"/>
      <c r="I62" s="23"/>
      <c r="J62" s="39"/>
      <c r="K62" s="39"/>
      <c r="L62" s="23"/>
      <c r="N62" s="33" t="s">
        <v>274</v>
      </c>
    </row>
    <row r="63" spans="1:14" ht="10.5">
      <c r="A63" s="29">
        <v>57</v>
      </c>
      <c r="B63" s="38" t="s">
        <v>74</v>
      </c>
      <c r="C63" s="33" t="s">
        <v>220</v>
      </c>
      <c r="D63" s="36">
        <v>0</v>
      </c>
      <c r="F63" s="23">
        <f>ROUND(SUMIF(Определители!I6:I10,"=7",'Базовые цены с учетом расхода'!O6:O10),2)</f>
        <v>0</v>
      </c>
      <c r="G63" s="23"/>
      <c r="H63" s="23"/>
      <c r="I63" s="23"/>
      <c r="J63" s="39"/>
      <c r="K63" s="39"/>
      <c r="L63" s="23"/>
      <c r="N63" s="33" t="s">
        <v>275</v>
      </c>
    </row>
    <row r="64" spans="1:14" ht="10.5">
      <c r="A64" s="29">
        <v>58</v>
      </c>
      <c r="B64" s="38" t="s">
        <v>95</v>
      </c>
      <c r="C64" s="33" t="s">
        <v>227</v>
      </c>
      <c r="D64" s="36">
        <v>0</v>
      </c>
      <c r="F64" s="23">
        <f>ROUND((F58+F62+F63),2)</f>
        <v>0</v>
      </c>
      <c r="G64" s="23"/>
      <c r="H64" s="23"/>
      <c r="I64" s="23"/>
      <c r="J64" s="39"/>
      <c r="K64" s="39"/>
      <c r="L64" s="23"/>
      <c r="N64" s="33" t="s">
        <v>276</v>
      </c>
    </row>
    <row r="65" spans="1:14" ht="10.5">
      <c r="A65" s="29">
        <v>59</v>
      </c>
      <c r="B65" s="38" t="s">
        <v>96</v>
      </c>
      <c r="C65" s="33" t="s">
        <v>220</v>
      </c>
      <c r="D65" s="36">
        <v>0</v>
      </c>
      <c r="F65" s="23">
        <f>ROUND(SUMIF(Определители!I6:I10,"=9",'Базовые цены с учетом расхода'!B6:B10),2)</f>
        <v>0</v>
      </c>
      <c r="G65" s="23">
        <f>ROUND(SUMIF(Определители!I6:I10,"=9",'Базовые цены с учетом расхода'!C6:C10),2)</f>
        <v>0</v>
      </c>
      <c r="H65" s="23">
        <f>ROUND(SUMIF(Определители!I6:I10,"=9",'Базовые цены с учетом расхода'!D6:D10),2)</f>
        <v>0</v>
      </c>
      <c r="I65" s="23">
        <f>ROUND(SUMIF(Определители!I6:I10,"=9",'Базовые цены с учетом расхода'!E6:E10),2)</f>
        <v>0</v>
      </c>
      <c r="J65" s="39">
        <f>ROUND(SUMIF(Определители!I6:I10,"=9",'Базовые цены с учетом расхода'!I6:I10),8)</f>
        <v>0</v>
      </c>
      <c r="K65" s="39">
        <f>ROUND(SUMIF(Определители!I6:I10,"=9",'Базовые цены с учетом расхода'!K6:K10),8)</f>
        <v>0</v>
      </c>
      <c r="L65" s="23">
        <f>ROUND(SUMIF(Определители!I6:I10,"=9",'Базовые цены с учетом расхода'!F6:F10),2)</f>
        <v>0</v>
      </c>
      <c r="N65" s="33" t="s">
        <v>277</v>
      </c>
    </row>
    <row r="66" spans="1:14" ht="10.5">
      <c r="A66" s="29">
        <v>60</v>
      </c>
      <c r="B66" s="38" t="s">
        <v>94</v>
      </c>
      <c r="C66" s="33" t="s">
        <v>220</v>
      </c>
      <c r="D66" s="36">
        <v>0</v>
      </c>
      <c r="F66" s="23">
        <f>ROUND(SUMIF(Определители!I6:I10,"=9",'Базовые цены с учетом расхода'!N6:N10),2)</f>
        <v>0</v>
      </c>
      <c r="G66" s="23"/>
      <c r="H66" s="23"/>
      <c r="I66" s="23"/>
      <c r="J66" s="39"/>
      <c r="K66" s="39"/>
      <c r="L66" s="23"/>
      <c r="N66" s="33" t="s">
        <v>278</v>
      </c>
    </row>
    <row r="67" spans="1:14" ht="10.5">
      <c r="A67" s="29">
        <v>61</v>
      </c>
      <c r="B67" s="38" t="s">
        <v>74</v>
      </c>
      <c r="C67" s="33" t="s">
        <v>220</v>
      </c>
      <c r="D67" s="36">
        <v>0</v>
      </c>
      <c r="F67" s="23">
        <f>ROUND(SUMIF(Определители!I6:I10,"=9",'Базовые цены с учетом расхода'!O6:O10),2)</f>
        <v>0</v>
      </c>
      <c r="G67" s="23"/>
      <c r="H67" s="23"/>
      <c r="I67" s="23"/>
      <c r="J67" s="39"/>
      <c r="K67" s="39"/>
      <c r="L67" s="23"/>
      <c r="N67" s="33" t="s">
        <v>279</v>
      </c>
    </row>
    <row r="68" spans="1:14" ht="10.5">
      <c r="A68" s="29">
        <v>62</v>
      </c>
      <c r="B68" s="38" t="s">
        <v>97</v>
      </c>
      <c r="C68" s="33" t="s">
        <v>227</v>
      </c>
      <c r="D68" s="36">
        <v>0</v>
      </c>
      <c r="F68" s="23">
        <f>ROUND((F65+F66+F67),2)</f>
        <v>0</v>
      </c>
      <c r="G68" s="23"/>
      <c r="H68" s="23"/>
      <c r="I68" s="23"/>
      <c r="J68" s="39"/>
      <c r="K68" s="39"/>
      <c r="L68" s="23"/>
      <c r="N68" s="33" t="s">
        <v>280</v>
      </c>
    </row>
    <row r="69" spans="1:14" ht="10.5">
      <c r="A69" s="29">
        <v>63</v>
      </c>
      <c r="B69" s="38" t="s">
        <v>98</v>
      </c>
      <c r="C69" s="33" t="s">
        <v>220</v>
      </c>
      <c r="D69" s="36">
        <v>0</v>
      </c>
      <c r="F69" s="23">
        <f>ROUND(SUMIF(Определители!I6:I10,"=:",'Базовые цены с учетом расхода'!B6:B10),2)</f>
        <v>0</v>
      </c>
      <c r="G69" s="23">
        <f>ROUND(SUMIF(Определители!I6:I10,"=:",'Базовые цены с учетом расхода'!C6:C10),2)</f>
        <v>0</v>
      </c>
      <c r="H69" s="23">
        <f>ROUND(SUMIF(Определители!I6:I10,"=:",'Базовые цены с учетом расхода'!D6:D10),2)</f>
        <v>0</v>
      </c>
      <c r="I69" s="23">
        <f>ROUND(SUMIF(Определители!I6:I10,"=:",'Базовые цены с учетом расхода'!E6:E10),2)</f>
        <v>0</v>
      </c>
      <c r="J69" s="39">
        <f>ROUND(SUMIF(Определители!I6:I10,"=:",'Базовые цены с учетом расхода'!I6:I10),8)</f>
        <v>0</v>
      </c>
      <c r="K69" s="39">
        <f>ROUND(SUMIF(Определители!I6:I10,"=:",'Базовые цены с учетом расхода'!K6:K10),8)</f>
        <v>0</v>
      </c>
      <c r="L69" s="23">
        <f>ROUND(SUMIF(Определители!I6:I10,"=:",'Базовые цены с учетом расхода'!F6:F10),2)</f>
        <v>0</v>
      </c>
      <c r="N69" s="33" t="s">
        <v>281</v>
      </c>
    </row>
    <row r="70" spans="1:14" ht="10.5">
      <c r="A70" s="29">
        <v>64</v>
      </c>
      <c r="B70" s="38" t="s">
        <v>72</v>
      </c>
      <c r="C70" s="33" t="s">
        <v>220</v>
      </c>
      <c r="D70" s="36">
        <v>0</v>
      </c>
      <c r="F70" s="23">
        <f>ROUND(SUMIF(Определители!I6:I10,"=:",'Базовые цены с учетом расхода'!H6:H10),2)</f>
        <v>0</v>
      </c>
      <c r="G70" s="23"/>
      <c r="H70" s="23"/>
      <c r="I70" s="23"/>
      <c r="J70" s="39"/>
      <c r="K70" s="39"/>
      <c r="L70" s="23"/>
      <c r="N70" s="33" t="s">
        <v>282</v>
      </c>
    </row>
    <row r="71" spans="1:14" ht="10.5">
      <c r="A71" s="29">
        <v>65</v>
      </c>
      <c r="B71" s="38" t="s">
        <v>94</v>
      </c>
      <c r="C71" s="33" t="s">
        <v>220</v>
      </c>
      <c r="D71" s="36">
        <v>0</v>
      </c>
      <c r="F71" s="23">
        <f>ROUND(SUMIF(Определители!I6:I10,"=:",'Базовые цены с учетом расхода'!N6:N10),2)</f>
        <v>0</v>
      </c>
      <c r="G71" s="23"/>
      <c r="H71" s="23"/>
      <c r="I71" s="23"/>
      <c r="J71" s="39"/>
      <c r="K71" s="39"/>
      <c r="L71" s="23"/>
      <c r="N71" s="33" t="s">
        <v>283</v>
      </c>
    </row>
    <row r="72" spans="1:14" ht="10.5">
      <c r="A72" s="29">
        <v>66</v>
      </c>
      <c r="B72" s="38" t="s">
        <v>74</v>
      </c>
      <c r="C72" s="33" t="s">
        <v>220</v>
      </c>
      <c r="D72" s="36">
        <v>0</v>
      </c>
      <c r="F72" s="23">
        <f>ROUND(SUMIF(Определители!I6:I10,"=:",'Базовые цены с учетом расхода'!O6:O10),2)</f>
        <v>0</v>
      </c>
      <c r="G72" s="23"/>
      <c r="H72" s="23"/>
      <c r="I72" s="23"/>
      <c r="J72" s="39"/>
      <c r="K72" s="39"/>
      <c r="L72" s="23"/>
      <c r="N72" s="33" t="s">
        <v>284</v>
      </c>
    </row>
    <row r="73" spans="1:14" ht="10.5">
      <c r="A73" s="29">
        <v>67</v>
      </c>
      <c r="B73" s="38" t="s">
        <v>99</v>
      </c>
      <c r="C73" s="33" t="s">
        <v>227</v>
      </c>
      <c r="D73" s="36">
        <v>0</v>
      </c>
      <c r="F73" s="23">
        <f>ROUND((F69+F71+F72),2)</f>
        <v>0</v>
      </c>
      <c r="G73" s="23"/>
      <c r="H73" s="23"/>
      <c r="I73" s="23"/>
      <c r="J73" s="39"/>
      <c r="K73" s="39"/>
      <c r="L73" s="23"/>
      <c r="N73" s="33" t="s">
        <v>285</v>
      </c>
    </row>
    <row r="74" spans="1:14" ht="10.5">
      <c r="A74" s="29">
        <v>68</v>
      </c>
      <c r="B74" s="38" t="s">
        <v>100</v>
      </c>
      <c r="C74" s="33" t="s">
        <v>220</v>
      </c>
      <c r="D74" s="36">
        <v>0</v>
      </c>
      <c r="F74" s="23">
        <f>ROUND(SUMIF(Определители!I6:I10,"=8",'Базовые цены с учетом расхода'!B6:B10),2)</f>
        <v>0</v>
      </c>
      <c r="G74" s="23">
        <f>ROUND(SUMIF(Определители!I6:I10,"=8",'Базовые цены с учетом расхода'!C6:C10),2)</f>
        <v>0</v>
      </c>
      <c r="H74" s="23">
        <f>ROUND(SUMIF(Определители!I6:I10,"=8",'Базовые цены с учетом расхода'!D6:D10),2)</f>
        <v>0</v>
      </c>
      <c r="I74" s="23">
        <f>ROUND(SUMIF(Определители!I6:I10,"=8",'Базовые цены с учетом расхода'!E6:E10),2)</f>
        <v>0</v>
      </c>
      <c r="J74" s="39">
        <f>ROUND(SUMIF(Определители!I6:I10,"=8",'Базовые цены с учетом расхода'!I6:I10),8)</f>
        <v>0</v>
      </c>
      <c r="K74" s="39">
        <f>ROUND(SUMIF(Определители!I6:I10,"=8",'Базовые цены с учетом расхода'!K6:K10),8)</f>
        <v>0</v>
      </c>
      <c r="L74" s="23">
        <f>ROUND(SUMIF(Определители!I6:I10,"=8",'Базовые цены с учетом расхода'!F6:F10),2)</f>
        <v>0</v>
      </c>
      <c r="N74" s="33" t="s">
        <v>286</v>
      </c>
    </row>
    <row r="75" spans="1:14" ht="10.5">
      <c r="A75" s="29">
        <v>69</v>
      </c>
      <c r="B75" s="38" t="s">
        <v>72</v>
      </c>
      <c r="C75" s="33" t="s">
        <v>220</v>
      </c>
      <c r="D75" s="36">
        <v>0</v>
      </c>
      <c r="F75" s="23">
        <f>ROUND(SUMIF(Определители!I6:I10,"=8",'Базовые цены с учетом расхода'!H6:H10),2)</f>
        <v>0</v>
      </c>
      <c r="G75" s="23"/>
      <c r="H75" s="23"/>
      <c r="I75" s="23"/>
      <c r="J75" s="39"/>
      <c r="K75" s="39"/>
      <c r="L75" s="23"/>
      <c r="N75" s="33" t="s">
        <v>287</v>
      </c>
    </row>
    <row r="76" spans="1:14" ht="10.5">
      <c r="A76" s="29">
        <v>70</v>
      </c>
      <c r="B76" s="38" t="s">
        <v>101</v>
      </c>
      <c r="C76" s="33" t="s">
        <v>227</v>
      </c>
      <c r="D76" s="36">
        <v>0</v>
      </c>
      <c r="F76" s="23">
        <f>ROUND((F17+F27+F34+F39+F47+F52+F57+F64+F68+F73+F74),2)</f>
        <v>8269.67</v>
      </c>
      <c r="G76" s="23">
        <f>ROUND((G17+G27+G34+G39+G47+G52+G57+G64+G68+G73+G74),2)</f>
        <v>0</v>
      </c>
      <c r="H76" s="23">
        <f>ROUND((H17+H27+H34+H39+H47+H52+H57+H64+H68+H73+H74),2)</f>
        <v>0</v>
      </c>
      <c r="I76" s="23">
        <f>ROUND((I17+I27+I34+I39+I47+I52+I57+I64+I68+I73+I74),2)</f>
        <v>0</v>
      </c>
      <c r="J76" s="39">
        <f>ROUND((J17+J27+J34+J39+J47+J52+J57+J64+J68+J73+J74),8)</f>
        <v>0</v>
      </c>
      <c r="K76" s="39">
        <f>ROUND((K17+K27+K34+K39+K47+K52+K57+K64+K68+K73+K74),8)</f>
        <v>0</v>
      </c>
      <c r="L76" s="23">
        <f>ROUND((L17+L27+L34+L39+L47+L52+L57+L64+L68+L73+L74),2)</f>
        <v>0</v>
      </c>
      <c r="N76" s="33" t="s">
        <v>288</v>
      </c>
    </row>
    <row r="77" spans="1:14" ht="10.5">
      <c r="A77" s="29">
        <v>71</v>
      </c>
      <c r="B77" s="38" t="s">
        <v>102</v>
      </c>
      <c r="C77" s="33" t="s">
        <v>227</v>
      </c>
      <c r="D77" s="36">
        <v>0</v>
      </c>
      <c r="F77" s="23">
        <f>ROUND((F23+F31+F36+F43+F49+F54+F61+F70+F75),2)</f>
        <v>0</v>
      </c>
      <c r="G77" s="23"/>
      <c r="H77" s="23"/>
      <c r="I77" s="23"/>
      <c r="J77" s="39"/>
      <c r="K77" s="39"/>
      <c r="L77" s="23"/>
      <c r="N77" s="33" t="s">
        <v>289</v>
      </c>
    </row>
    <row r="78" spans="1:14" ht="10.5">
      <c r="A78" s="29">
        <v>72</v>
      </c>
      <c r="B78" s="38" t="s">
        <v>103</v>
      </c>
      <c r="C78" s="33" t="s">
        <v>227</v>
      </c>
      <c r="D78" s="36">
        <v>0</v>
      </c>
      <c r="F78" s="23">
        <f>ROUND((F24+F32+F37+F44+F50+F55+F62+F66+F71),2)</f>
        <v>469.67</v>
      </c>
      <c r="G78" s="23"/>
      <c r="H78" s="23"/>
      <c r="I78" s="23"/>
      <c r="J78" s="39"/>
      <c r="K78" s="39"/>
      <c r="L78" s="23"/>
      <c r="N78" s="33" t="s">
        <v>290</v>
      </c>
    </row>
    <row r="79" spans="1:14" ht="10.5">
      <c r="A79" s="29">
        <v>73</v>
      </c>
      <c r="B79" s="38" t="s">
        <v>104</v>
      </c>
      <c r="C79" s="33" t="s">
        <v>227</v>
      </c>
      <c r="D79" s="36">
        <v>0</v>
      </c>
      <c r="F79" s="23">
        <f>ROUND((F25+F33+F38+F45+F51+F56+F63+F67+F72),2)</f>
        <v>343.01</v>
      </c>
      <c r="G79" s="23"/>
      <c r="H79" s="23"/>
      <c r="I79" s="23"/>
      <c r="J79" s="39"/>
      <c r="K79" s="39"/>
      <c r="L79" s="23"/>
      <c r="N79" s="33" t="s">
        <v>291</v>
      </c>
    </row>
    <row r="80" spans="1:14" ht="10.5">
      <c r="A80" s="29">
        <v>74</v>
      </c>
      <c r="B80" s="38" t="s">
        <v>105</v>
      </c>
      <c r="C80" s="33" t="s">
        <v>292</v>
      </c>
      <c r="D80" s="36">
        <v>3.74</v>
      </c>
      <c r="F80" s="23">
        <f>ROUND((F76)*D80,2)</f>
        <v>30928.57</v>
      </c>
      <c r="G80" s="23"/>
      <c r="H80" s="23"/>
      <c r="I80" s="23"/>
      <c r="J80" s="39"/>
      <c r="K80" s="39"/>
      <c r="L80" s="23"/>
      <c r="N80" s="33" t="s">
        <v>293</v>
      </c>
    </row>
    <row r="81" spans="1:14" ht="10.5">
      <c r="A81" s="29">
        <v>75</v>
      </c>
      <c r="B81" s="38" t="s">
        <v>106</v>
      </c>
      <c r="C81" s="33" t="s">
        <v>294</v>
      </c>
      <c r="D81" s="36">
        <v>18</v>
      </c>
      <c r="F81" s="23">
        <f>ROUND((F80)*D81/100,2)</f>
        <v>5567.14</v>
      </c>
      <c r="G81" s="23"/>
      <c r="H81" s="23"/>
      <c r="I81" s="23"/>
      <c r="J81" s="39"/>
      <c r="K81" s="39"/>
      <c r="L81" s="23"/>
      <c r="N81" s="33" t="s">
        <v>295</v>
      </c>
    </row>
    <row r="82" spans="1:14" ht="10.5">
      <c r="A82" s="29">
        <v>76</v>
      </c>
      <c r="B82" s="38" t="s">
        <v>107</v>
      </c>
      <c r="C82" s="33" t="s">
        <v>296</v>
      </c>
      <c r="D82" s="36">
        <v>0</v>
      </c>
      <c r="F82" s="23">
        <f>ROUND((F80+F81),2)</f>
        <v>36495.71</v>
      </c>
      <c r="G82" s="23"/>
      <c r="H82" s="23"/>
      <c r="I82" s="23"/>
      <c r="J82" s="39"/>
      <c r="K82" s="39"/>
      <c r="L82" s="23"/>
      <c r="N82" s="33" t="s">
        <v>297</v>
      </c>
    </row>
    <row r="83" spans="1:14" ht="10.5">
      <c r="A83" s="29">
        <v>77</v>
      </c>
      <c r="B83" s="38" t="s">
        <v>108</v>
      </c>
      <c r="C83" s="33" t="s">
        <v>298</v>
      </c>
      <c r="D83" s="36">
        <v>0</v>
      </c>
      <c r="F83" s="23"/>
      <c r="G83" s="23"/>
      <c r="H83" s="23"/>
      <c r="I83" s="23"/>
      <c r="J83" s="39"/>
      <c r="K83" s="39"/>
      <c r="L83" s="23">
        <f>ROUND(SUM('Базовые цены с учетом расхода'!X6:X10),2)</f>
        <v>0</v>
      </c>
      <c r="N83" s="33" t="s">
        <v>299</v>
      </c>
    </row>
    <row r="84" spans="1:14" ht="10.5">
      <c r="A84" s="29">
        <v>78</v>
      </c>
      <c r="B84" s="38" t="s">
        <v>109</v>
      </c>
      <c r="C84" s="33" t="s">
        <v>298</v>
      </c>
      <c r="D84" s="36">
        <v>0</v>
      </c>
      <c r="F84" s="23">
        <f>ROUND(SUM('Базовые цены с учетом расхода'!C6:C10),2)</f>
        <v>519.59</v>
      </c>
      <c r="G84" s="23"/>
      <c r="H84" s="23"/>
      <c r="I84" s="23"/>
      <c r="J84" s="39"/>
      <c r="K84" s="39"/>
      <c r="L84" s="23"/>
      <c r="N84" s="33" t="s">
        <v>300</v>
      </c>
    </row>
    <row r="85" spans="1:14" ht="10.5">
      <c r="A85" s="29">
        <v>79</v>
      </c>
      <c r="B85" s="38" t="s">
        <v>110</v>
      </c>
      <c r="C85" s="33" t="s">
        <v>298</v>
      </c>
      <c r="D85" s="36">
        <v>0</v>
      </c>
      <c r="F85" s="23">
        <f>ROUND(SUM('Базовые цены с учетом расхода'!E6:E10),2)</f>
        <v>25.22</v>
      </c>
      <c r="G85" s="23"/>
      <c r="H85" s="23"/>
      <c r="I85" s="23"/>
      <c r="J85" s="39"/>
      <c r="K85" s="39"/>
      <c r="L85" s="23"/>
      <c r="N85" s="33" t="s">
        <v>301</v>
      </c>
    </row>
    <row r="86" spans="1:14" ht="10.5">
      <c r="A86" s="29">
        <v>80</v>
      </c>
      <c r="B86" s="38" t="s">
        <v>111</v>
      </c>
      <c r="C86" s="33" t="s">
        <v>296</v>
      </c>
      <c r="D86" s="36">
        <v>0</v>
      </c>
      <c r="F86" s="23">
        <f>ROUND((F84+F85),2)</f>
        <v>544.81</v>
      </c>
      <c r="G86" s="23"/>
      <c r="H86" s="23"/>
      <c r="I86" s="23"/>
      <c r="J86" s="39"/>
      <c r="K86" s="39"/>
      <c r="L86" s="23"/>
      <c r="N86" s="33" t="s">
        <v>302</v>
      </c>
    </row>
    <row r="87" spans="1:14" ht="10.5">
      <c r="A87" s="29">
        <v>81</v>
      </c>
      <c r="B87" s="38" t="s">
        <v>112</v>
      </c>
      <c r="C87" s="33" t="s">
        <v>298</v>
      </c>
      <c r="D87" s="36">
        <v>0</v>
      </c>
      <c r="F87" s="23"/>
      <c r="G87" s="23"/>
      <c r="H87" s="23"/>
      <c r="I87" s="23"/>
      <c r="J87" s="39">
        <f>ROUND(SUM('Базовые цены с учетом расхода'!I6:I10),8)</f>
        <v>47.1435964</v>
      </c>
      <c r="K87" s="39"/>
      <c r="L87" s="23"/>
      <c r="N87" s="33" t="s">
        <v>303</v>
      </c>
    </row>
    <row r="88" spans="1:14" ht="10.5">
      <c r="A88" s="29">
        <v>82</v>
      </c>
      <c r="B88" s="38" t="s">
        <v>113</v>
      </c>
      <c r="C88" s="33" t="s">
        <v>298</v>
      </c>
      <c r="D88" s="36">
        <v>0</v>
      </c>
      <c r="F88" s="23"/>
      <c r="G88" s="23"/>
      <c r="H88" s="23"/>
      <c r="I88" s="23"/>
      <c r="J88" s="39">
        <f>ROUND(SUM('Базовые цены с учетом расхода'!K6:K10),8)</f>
        <v>1.5420725</v>
      </c>
      <c r="K88" s="39"/>
      <c r="L88" s="23"/>
      <c r="N88" s="33" t="s">
        <v>304</v>
      </c>
    </row>
    <row r="89" spans="1:14" ht="10.5">
      <c r="A89" s="29">
        <v>83</v>
      </c>
      <c r="B89" s="38" t="s">
        <v>114</v>
      </c>
      <c r="C89" s="33" t="s">
        <v>296</v>
      </c>
      <c r="D89" s="36">
        <v>0</v>
      </c>
      <c r="F89" s="23"/>
      <c r="G89" s="23"/>
      <c r="H89" s="23"/>
      <c r="I89" s="23"/>
      <c r="J89" s="39">
        <f>ROUND((J87+J88),8)</f>
        <v>48.6856689</v>
      </c>
      <c r="K89" s="39"/>
      <c r="L89" s="23"/>
      <c r="N89" s="33" t="s">
        <v>305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2011-01-18T16:15:38Z</dcterms:created>
  <dcterms:modified xsi:type="dcterms:W3CDTF">2011-01-21T15:39:18Z</dcterms:modified>
  <cp:category/>
  <cp:version/>
  <cp:contentType/>
  <cp:contentStatus/>
</cp:coreProperties>
</file>